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ПТО\Когтев В.И. Руководитель ПТС\Объекты\1. Тендер\п. 4\2. Отделка 1,2 подъезды\"/>
    </mc:Choice>
  </mc:AlternateContent>
  <bookViews>
    <workbookView xWindow="0" yWindow="0" windowWidth="28800" windowHeight="12300" firstSheet="7" activeTab="7"/>
  </bookViews>
  <sheets>
    <sheet name="6.Ведомость_списания" sheetId="18" state="hidden" r:id="rId1"/>
    <sheet name="5.Ресурсный_расчет" sheetId="16" state="hidden" r:id="rId2"/>
    <sheet name="4.Оборудование" sheetId="14" state="hidden" r:id="rId3"/>
    <sheet name="3.Материалы" sheetId="12" state="hidden" r:id="rId4"/>
    <sheet name="2.Лок.смета.и.Акт в ЕР" sheetId="10" state="hidden" r:id="rId5"/>
    <sheet name="SourceOb.2" sheetId="9" state="hidden" r:id="rId6"/>
    <sheet name="1.Лок.смета.и.Акт" sheetId="7" state="hidden" r:id="rId7"/>
    <sheet name="ТЗ" sheetId="19" r:id="rId8"/>
    <sheet name="Материалы ген.подрядчика" sheetId="23" r:id="rId9"/>
    <sheet name="Материалы подрядчика" sheetId="22" r:id="rId10"/>
    <sheet name="SourceOb.1" sheetId="6" state="hidden" r:id="rId11"/>
    <sheet name="Source" sheetId="1" state="hidden" r:id="rId12"/>
    <sheet name="SourceObSm" sheetId="2" state="hidden" r:id="rId13"/>
    <sheet name="SmtRes" sheetId="3" state="hidden" r:id="rId14"/>
    <sheet name="EtalonRes" sheetId="4" state="hidden" r:id="rId15"/>
  </sheets>
  <definedNames>
    <definedName name="_xlnm.Print_Titles" localSheetId="6">'1.Лок.смета.и.Акт'!$46:$46</definedName>
    <definedName name="_xlnm.Print_Titles" localSheetId="4">'2.Лок.смета.и.Акт в ЕР'!$46:$46</definedName>
    <definedName name="_xlnm.Print_Titles" localSheetId="3">'3.Материалы'!$20:$20</definedName>
    <definedName name="_xlnm.Print_Titles" localSheetId="2">'4.Оборудование'!$18:$18</definedName>
    <definedName name="_xlnm.Print_Titles" localSheetId="1">'5.Ресурсный_расчет'!$20:$20</definedName>
    <definedName name="_xlnm.Print_Titles" localSheetId="0">'6.Ведомость_списания'!$18:$18</definedName>
    <definedName name="_xlnm.Print_Titles" localSheetId="8">'Материалы ген.подрядчика'!$22:$22</definedName>
    <definedName name="_xlnm.Print_Titles" localSheetId="9">'Материалы подрядчика'!$22:$22</definedName>
    <definedName name="_xlnm.Print_Area" localSheetId="6">'1.Лок.смета.и.Акт'!$A$1:$K$164</definedName>
    <definedName name="_xlnm.Print_Area" localSheetId="4">'2.Лок.смета.и.Акт в ЕР'!$A$1:$K$164</definedName>
    <definedName name="_xlnm.Print_Area" localSheetId="3">'3.Материалы'!$A$1:$G$34</definedName>
    <definedName name="_xlnm.Print_Area" localSheetId="2">'4.Оборудование'!$A$1:$G$32</definedName>
    <definedName name="_xlnm.Print_Area" localSheetId="1">'5.Ресурсный_расчет'!$A$1:$G$50</definedName>
    <definedName name="_xlnm.Print_Area" localSheetId="0">'6.Ведомость_списания'!$A$1:$K$37</definedName>
    <definedName name="_xlnm.Print_Area" localSheetId="8">'Материалы ген.подрядчика'!$A$9:$F$58</definedName>
    <definedName name="_xlnm.Print_Area" localSheetId="9">'Материалы подрядчика'!$A$9:$E$110</definedName>
    <definedName name="_xlnm.Print_Area" localSheetId="7">ТЗ!$A$1:$G$295</definedName>
  </definedNames>
  <calcPr calcId="162913" iterate="1"/>
</workbook>
</file>

<file path=xl/calcChain.xml><?xml version="1.0" encoding="utf-8"?>
<calcChain xmlns="http://schemas.openxmlformats.org/spreadsheetml/2006/main">
  <c r="G257" i="19" l="1"/>
  <c r="E149" i="19" l="1"/>
  <c r="E215" i="19" l="1"/>
  <c r="E211" i="19"/>
  <c r="E30" i="19" l="1"/>
  <c r="E28" i="19"/>
  <c r="E25" i="19"/>
  <c r="E23" i="19"/>
  <c r="E18" i="19" l="1"/>
  <c r="BX21" i="19" l="1"/>
  <c r="K138" i="10" l="1"/>
  <c r="K135" i="10"/>
  <c r="K130" i="10"/>
  <c r="K128" i="10"/>
  <c r="K107" i="10"/>
  <c r="K126" i="10"/>
  <c r="K125" i="10"/>
  <c r="K138" i="7"/>
  <c r="K135" i="7"/>
  <c r="K130" i="7"/>
  <c r="K128" i="7"/>
  <c r="K126" i="7"/>
  <c r="K125" i="7"/>
  <c r="K107" i="7"/>
  <c r="K124" i="7"/>
  <c r="BZ33" i="18" l="1"/>
  <c r="BY33" i="18"/>
  <c r="BZ30" i="18"/>
  <c r="BY30" i="18"/>
  <c r="BZ27" i="18"/>
  <c r="BY27" i="18"/>
  <c r="E24" i="18"/>
  <c r="E23" i="18"/>
  <c r="E22" i="18"/>
  <c r="E21" i="18"/>
  <c r="BU20" i="18"/>
  <c r="BU19" i="18"/>
  <c r="BT13" i="18"/>
  <c r="BS12" i="18"/>
  <c r="BS11" i="18"/>
  <c r="BR6" i="18"/>
  <c r="BR5" i="18"/>
  <c r="BR4" i="18"/>
  <c r="BR3" i="18"/>
  <c r="BZ46" i="16"/>
  <c r="BY46" i="16"/>
  <c r="BZ43" i="16"/>
  <c r="BY43" i="16"/>
  <c r="BZ40" i="16"/>
  <c r="BY40" i="16"/>
  <c r="G38" i="16"/>
  <c r="G37" i="16"/>
  <c r="G36" i="16"/>
  <c r="G34" i="16"/>
  <c r="L31" i="16"/>
  <c r="G31" i="16"/>
  <c r="G29" i="16"/>
  <c r="F29" i="16"/>
  <c r="G28" i="16"/>
  <c r="F28" i="16"/>
  <c r="G30" i="16"/>
  <c r="F30" i="16"/>
  <c r="G27" i="16"/>
  <c r="F27" i="16"/>
  <c r="DK14" i="3"/>
  <c r="DJ14" i="3"/>
  <c r="DI14" i="3"/>
  <c r="DH14" i="3"/>
  <c r="DK13" i="3"/>
  <c r="DJ13" i="3"/>
  <c r="DI13" i="3"/>
  <c r="DH13" i="3"/>
  <c r="DK10" i="3"/>
  <c r="DJ10" i="3"/>
  <c r="DI10" i="3"/>
  <c r="DH10" i="3"/>
  <c r="DK9" i="3"/>
  <c r="DJ9" i="3"/>
  <c r="DI9" i="3"/>
  <c r="DH9" i="3"/>
  <c r="DK6" i="3"/>
  <c r="DJ6" i="3"/>
  <c r="DI6" i="3"/>
  <c r="DH6" i="3"/>
  <c r="DK5" i="3"/>
  <c r="DJ5" i="3"/>
  <c r="DI5" i="3"/>
  <c r="DH5" i="3"/>
  <c r="DK4" i="3"/>
  <c r="DJ4" i="3"/>
  <c r="DI4" i="3"/>
  <c r="DH4" i="3"/>
  <c r="DK2" i="3"/>
  <c r="DJ2" i="3"/>
  <c r="DI2" i="3"/>
  <c r="DH2" i="3"/>
  <c r="K24" i="16"/>
  <c r="G24" i="16"/>
  <c r="G22" i="16"/>
  <c r="F22" i="16"/>
  <c r="G23" i="16"/>
  <c r="F23" i="16"/>
  <c r="DK16" i="3"/>
  <c r="DJ16" i="3"/>
  <c r="DI16" i="3"/>
  <c r="DH16" i="3"/>
  <c r="DK15" i="3"/>
  <c r="DJ15" i="3"/>
  <c r="DI15" i="3"/>
  <c r="DH15" i="3"/>
  <c r="DK12" i="3"/>
  <c r="DJ12" i="3"/>
  <c r="DI12" i="3"/>
  <c r="DH12" i="3"/>
  <c r="DK11" i="3"/>
  <c r="DJ11" i="3"/>
  <c r="DI11" i="3"/>
  <c r="DH11" i="3"/>
  <c r="DK8" i="3"/>
  <c r="DJ8" i="3"/>
  <c r="DI8" i="3"/>
  <c r="DH8" i="3"/>
  <c r="DK7" i="3"/>
  <c r="DJ7" i="3"/>
  <c r="DI7" i="3"/>
  <c r="DH7" i="3"/>
  <c r="DK3" i="3"/>
  <c r="DJ3" i="3"/>
  <c r="DI3" i="3"/>
  <c r="DH3" i="3"/>
  <c r="DK1" i="3"/>
  <c r="DJ1" i="3"/>
  <c r="DI1" i="3"/>
  <c r="DH1" i="3"/>
  <c r="BT13" i="16"/>
  <c r="BS12" i="16"/>
  <c r="BS11" i="16"/>
  <c r="BR6" i="16"/>
  <c r="BR5" i="16"/>
  <c r="BR4" i="16"/>
  <c r="BR3" i="16"/>
  <c r="BZ28" i="14"/>
  <c r="BY28" i="14"/>
  <c r="BZ25" i="14"/>
  <c r="BY25" i="14"/>
  <c r="BZ22" i="14"/>
  <c r="BY22" i="14"/>
  <c r="BS11" i="14"/>
  <c r="BR6" i="14"/>
  <c r="BR5" i="14"/>
  <c r="BR4" i="14"/>
  <c r="BR3" i="14"/>
  <c r="BZ30" i="12"/>
  <c r="BY30" i="12"/>
  <c r="BZ27" i="12"/>
  <c r="BY27" i="12"/>
  <c r="BZ24" i="12"/>
  <c r="BY24" i="12"/>
  <c r="BT13" i="12"/>
  <c r="BS12" i="12"/>
  <c r="BS11" i="12"/>
  <c r="BR6" i="12"/>
  <c r="BR5" i="12"/>
  <c r="BR4" i="12"/>
  <c r="BR3" i="12"/>
  <c r="BZ160" i="10"/>
  <c r="BY160" i="10"/>
  <c r="BZ157" i="10"/>
  <c r="BY157" i="10"/>
  <c r="BZ154" i="10"/>
  <c r="BY154" i="10"/>
  <c r="BZ148" i="10"/>
  <c r="BY148" i="10"/>
  <c r="BZ145" i="10"/>
  <c r="BY145" i="10"/>
  <c r="I137" i="10"/>
  <c r="I138" i="10" s="1"/>
  <c r="I140" i="10" s="1"/>
  <c r="I37" i="10" s="1"/>
  <c r="I135" i="10"/>
  <c r="I133" i="10"/>
  <c r="I132" i="10"/>
  <c r="I131" i="10"/>
  <c r="I130" i="10"/>
  <c r="I128" i="10"/>
  <c r="I126" i="10"/>
  <c r="I125" i="10"/>
  <c r="K124" i="10"/>
  <c r="I124" i="10"/>
  <c r="K122" i="10"/>
  <c r="I122" i="10"/>
  <c r="K121" i="10"/>
  <c r="I121" i="10"/>
  <c r="K120" i="10"/>
  <c r="I120" i="10"/>
  <c r="I119" i="10"/>
  <c r="I118" i="10"/>
  <c r="I117" i="10"/>
  <c r="I116" i="10"/>
  <c r="I115" i="10"/>
  <c r="I114" i="10"/>
  <c r="I113" i="10"/>
  <c r="K112" i="10"/>
  <c r="I112" i="10"/>
  <c r="I110" i="10"/>
  <c r="K109" i="10"/>
  <c r="I109" i="10"/>
  <c r="I107" i="10"/>
  <c r="K105" i="10"/>
  <c r="I105" i="10"/>
  <c r="K104" i="10"/>
  <c r="I104" i="10"/>
  <c r="K103" i="10"/>
  <c r="I103" i="10"/>
  <c r="K102" i="10"/>
  <c r="I102" i="10"/>
  <c r="K101" i="10"/>
  <c r="I101" i="10"/>
  <c r="K100" i="10"/>
  <c r="I100" i="10"/>
  <c r="K99" i="10"/>
  <c r="I99" i="10"/>
  <c r="K98" i="10"/>
  <c r="I98" i="10"/>
  <c r="K97" i="10"/>
  <c r="I97" i="10"/>
  <c r="K96" i="10"/>
  <c r="I96" i="10"/>
  <c r="K95" i="10"/>
  <c r="I95" i="10"/>
  <c r="K94" i="10"/>
  <c r="I94" i="10"/>
  <c r="K93" i="10"/>
  <c r="I93" i="10"/>
  <c r="K92" i="10"/>
  <c r="I92" i="10"/>
  <c r="K91" i="10"/>
  <c r="I91" i="10"/>
  <c r="K90" i="10"/>
  <c r="I90" i="10"/>
  <c r="K88" i="10"/>
  <c r="I88" i="10"/>
  <c r="I86" i="10"/>
  <c r="K84" i="10"/>
  <c r="I84" i="10"/>
  <c r="K83" i="10"/>
  <c r="I83" i="10"/>
  <c r="J38" i="10"/>
  <c r="I38" i="10"/>
  <c r="J39" i="10"/>
  <c r="I39" i="10"/>
  <c r="Q80" i="10"/>
  <c r="I80" i="10"/>
  <c r="P80" i="10"/>
  <c r="IU14" i="9"/>
  <c r="IT14" i="9"/>
  <c r="IS14" i="9"/>
  <c r="IR14" i="9"/>
  <c r="IQ14" i="9"/>
  <c r="IP14" i="9"/>
  <c r="IO14" i="9"/>
  <c r="IN14" i="9"/>
  <c r="GG14" i="9"/>
  <c r="GF14" i="9"/>
  <c r="GE14" i="9"/>
  <c r="GD14" i="9"/>
  <c r="GC14" i="9"/>
  <c r="GB14" i="9"/>
  <c r="GA14" i="9"/>
  <c r="FZ14" i="9"/>
  <c r="FY14" i="9"/>
  <c r="FX14" i="9"/>
  <c r="IM14" i="9"/>
  <c r="IL14" i="9"/>
  <c r="IK14" i="9"/>
  <c r="IJ14" i="9"/>
  <c r="II14" i="9"/>
  <c r="IH14" i="9"/>
  <c r="IG14" i="9"/>
  <c r="IF14" i="9"/>
  <c r="IE14" i="9"/>
  <c r="ID14" i="9"/>
  <c r="IC14" i="9"/>
  <c r="IB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IU80" i="10"/>
  <c r="IT80" i="10"/>
  <c r="IS80" i="10"/>
  <c r="IR80" i="10"/>
  <c r="IQ80" i="10"/>
  <c r="IP80" i="10"/>
  <c r="IO80" i="10"/>
  <c r="IN80" i="10"/>
  <c r="GG80" i="10"/>
  <c r="GF80" i="10"/>
  <c r="GE80" i="10"/>
  <c r="GD80" i="10"/>
  <c r="GC80" i="10"/>
  <c r="GB80" i="10"/>
  <c r="GA80" i="10"/>
  <c r="FZ80" i="10"/>
  <c r="FY80" i="10"/>
  <c r="FX80" i="10"/>
  <c r="IM80" i="10"/>
  <c r="IL80" i="10"/>
  <c r="IK80" i="10"/>
  <c r="IJ80" i="10"/>
  <c r="II80" i="10"/>
  <c r="IH80" i="10"/>
  <c r="IG80" i="10"/>
  <c r="IF80" i="10"/>
  <c r="IE80" i="10"/>
  <c r="ID80" i="10"/>
  <c r="IC80" i="10"/>
  <c r="IB80" i="10"/>
  <c r="FW80" i="10"/>
  <c r="FV80" i="10"/>
  <c r="FU80" i="10"/>
  <c r="FT80" i="10"/>
  <c r="FS80" i="10"/>
  <c r="FR80" i="10"/>
  <c r="FQ80" i="10"/>
  <c r="FP80" i="10"/>
  <c r="FO80" i="10"/>
  <c r="FN80" i="10"/>
  <c r="FM80" i="10"/>
  <c r="FL80" i="10"/>
  <c r="FK80" i="10"/>
  <c r="FJ80" i="10"/>
  <c r="FI80" i="10"/>
  <c r="FH80" i="10"/>
  <c r="FG80" i="10"/>
  <c r="FF80" i="10"/>
  <c r="FE80" i="10"/>
  <c r="FD80" i="10"/>
  <c r="FC80" i="10"/>
  <c r="FB80" i="10"/>
  <c r="FA80" i="10"/>
  <c r="EZ80" i="10"/>
  <c r="EY80" i="10"/>
  <c r="EX80" i="10"/>
  <c r="EW80" i="10"/>
  <c r="EV80" i="10"/>
  <c r="EU80" i="10"/>
  <c r="ET80" i="10"/>
  <c r="ER80" i="10"/>
  <c r="EQ80" i="10"/>
  <c r="EP80" i="10"/>
  <c r="EO80" i="10"/>
  <c r="EN80" i="10"/>
  <c r="EM80" i="10"/>
  <c r="EL80" i="10"/>
  <c r="EK80" i="10"/>
  <c r="EJ80" i="10"/>
  <c r="EI80" i="10"/>
  <c r="EH80" i="10"/>
  <c r="EG80" i="10"/>
  <c r="EF80" i="10"/>
  <c r="EE80" i="10"/>
  <c r="ED80" i="10"/>
  <c r="EC80" i="10"/>
  <c r="BP80" i="9"/>
  <c r="BO80" i="9"/>
  <c r="BN80" i="9"/>
  <c r="BM80" i="9"/>
  <c r="BL80" i="9"/>
  <c r="BK80" i="9"/>
  <c r="BJ80" i="9"/>
  <c r="BI80" i="9"/>
  <c r="BH80" i="9"/>
  <c r="BG80" i="9"/>
  <c r="BF80" i="9"/>
  <c r="BE80" i="9"/>
  <c r="BD14" i="9"/>
  <c r="BC14" i="9"/>
  <c r="BB14" i="9"/>
  <c r="BA14" i="9"/>
  <c r="AZ14" i="9"/>
  <c r="AY14" i="9"/>
  <c r="DZ14" i="9"/>
  <c r="DY14" i="9"/>
  <c r="DX14" i="9"/>
  <c r="DW14" i="9"/>
  <c r="DO14" i="9"/>
  <c r="DN14" i="9"/>
  <c r="DM14" i="9"/>
  <c r="DL14" i="9"/>
  <c r="DD14" i="9"/>
  <c r="DB14" i="9"/>
  <c r="DA14" i="9"/>
  <c r="CZ14" i="9"/>
  <c r="CX14" i="9"/>
  <c r="CW14" i="9"/>
  <c r="BP80" i="10"/>
  <c r="BO80" i="10"/>
  <c r="BN80" i="10"/>
  <c r="BM80" i="10"/>
  <c r="BL80" i="10"/>
  <c r="BK80" i="10"/>
  <c r="BJ80" i="10"/>
  <c r="BI80" i="10"/>
  <c r="BH80" i="10"/>
  <c r="BG80" i="10"/>
  <c r="BF80" i="10"/>
  <c r="BE80" i="10"/>
  <c r="BD80" i="10"/>
  <c r="BC80" i="10"/>
  <c r="BB80" i="10"/>
  <c r="BA80" i="10"/>
  <c r="AZ80" i="10"/>
  <c r="AY80" i="10"/>
  <c r="DZ80" i="10"/>
  <c r="DY80" i="10"/>
  <c r="DX80" i="10"/>
  <c r="DW80" i="10"/>
  <c r="DO80" i="10"/>
  <c r="DN80" i="10"/>
  <c r="DM80" i="10"/>
  <c r="DL80" i="10"/>
  <c r="DD80" i="10"/>
  <c r="DB80" i="10"/>
  <c r="DA80" i="10"/>
  <c r="CZ80" i="10"/>
  <c r="CX80" i="10"/>
  <c r="CW80" i="10"/>
  <c r="CU80" i="10"/>
  <c r="CT80" i="10"/>
  <c r="CS80" i="10"/>
  <c r="CR80" i="10"/>
  <c r="CQ80" i="10"/>
  <c r="CP80" i="10"/>
  <c r="CO80" i="10"/>
  <c r="CN80" i="10"/>
  <c r="CM80" i="10"/>
  <c r="CL80" i="10"/>
  <c r="CK80" i="10"/>
  <c r="CJ80" i="10"/>
  <c r="CI80" i="10"/>
  <c r="CH80" i="10"/>
  <c r="CG80" i="10"/>
  <c r="CF80" i="10"/>
  <c r="AN78" i="10"/>
  <c r="EW32" i="1"/>
  <c r="AQ32" i="1"/>
  <c r="DO32" i="1"/>
  <c r="DN32" i="1"/>
  <c r="BA32" i="1"/>
  <c r="EV32" i="1"/>
  <c r="ER32" i="1" s="1"/>
  <c r="AO32" i="1"/>
  <c r="AK32" i="1" s="1"/>
  <c r="F72" i="7" s="1"/>
  <c r="I32" i="1"/>
  <c r="B73" i="10" s="1"/>
  <c r="I31" i="1"/>
  <c r="DW32" i="1"/>
  <c r="AN70" i="10"/>
  <c r="EW30" i="1"/>
  <c r="AQ30" i="1"/>
  <c r="DO30" i="1"/>
  <c r="DN30" i="1"/>
  <c r="BS30" i="1"/>
  <c r="EU30" i="1"/>
  <c r="AN30" i="1"/>
  <c r="BB30" i="1"/>
  <c r="ET30" i="1"/>
  <c r="AM30" i="1"/>
  <c r="BA30" i="1"/>
  <c r="EV30" i="1"/>
  <c r="AO30" i="1"/>
  <c r="I30" i="1"/>
  <c r="I29" i="1"/>
  <c r="DW30" i="1"/>
  <c r="AN61" i="10"/>
  <c r="BB28" i="1"/>
  <c r="ET28" i="1"/>
  <c r="ER28" i="1" s="1"/>
  <c r="AM28" i="1"/>
  <c r="AK28" i="1" s="1"/>
  <c r="F58" i="10" s="1"/>
  <c r="I28" i="1"/>
  <c r="C59" i="10" s="1"/>
  <c r="I27" i="1"/>
  <c r="DW28" i="1"/>
  <c r="AN56" i="10"/>
  <c r="DO26" i="1"/>
  <c r="DN26" i="1"/>
  <c r="BS26" i="1"/>
  <c r="EU26" i="1"/>
  <c r="AN26" i="1"/>
  <c r="BB26" i="1"/>
  <c r="ET26" i="1"/>
  <c r="ER26" i="1" s="1"/>
  <c r="AM26" i="1"/>
  <c r="AK26" i="1" s="1"/>
  <c r="F50" i="7" s="1"/>
  <c r="I26" i="1"/>
  <c r="B51" i="10" s="1"/>
  <c r="I25" i="1"/>
  <c r="DW26" i="1"/>
  <c r="BX48" i="10"/>
  <c r="BT35" i="10"/>
  <c r="BV34" i="10"/>
  <c r="BT31" i="10"/>
  <c r="BT30" i="10"/>
  <c r="BT29" i="10"/>
  <c r="BU23" i="10"/>
  <c r="BW14" i="10"/>
  <c r="BS13" i="10"/>
  <c r="BS12" i="10"/>
  <c r="BS11" i="10"/>
  <c r="BR10" i="10"/>
  <c r="BR9" i="10"/>
  <c r="BR8" i="10"/>
  <c r="BR7" i="10"/>
  <c r="BZ160" i="7"/>
  <c r="BY160" i="7"/>
  <c r="BZ157" i="7"/>
  <c r="BY157" i="7"/>
  <c r="BZ154" i="7"/>
  <c r="BY154" i="7"/>
  <c r="BZ148" i="7"/>
  <c r="BY148" i="7"/>
  <c r="BZ145" i="7"/>
  <c r="BY145" i="7"/>
  <c r="I133" i="7"/>
  <c r="I132" i="7"/>
  <c r="I131" i="7"/>
  <c r="I121" i="7"/>
  <c r="I120" i="7"/>
  <c r="I119" i="7"/>
  <c r="I118" i="7"/>
  <c r="I117" i="7"/>
  <c r="I116" i="7"/>
  <c r="I115" i="7"/>
  <c r="I114" i="7"/>
  <c r="I113" i="7"/>
  <c r="K112" i="7"/>
  <c r="I112" i="7"/>
  <c r="I110" i="7"/>
  <c r="IU14" i="6"/>
  <c r="IT14" i="6"/>
  <c r="IS14" i="6"/>
  <c r="IQ14" i="6"/>
  <c r="IP14" i="6"/>
  <c r="IO14" i="6"/>
  <c r="GG14" i="6"/>
  <c r="GF14" i="6"/>
  <c r="GE14" i="6"/>
  <c r="GD14" i="6"/>
  <c r="GC14" i="6"/>
  <c r="GA14" i="6"/>
  <c r="FZ14" i="6"/>
  <c r="FY14" i="6"/>
  <c r="IM14" i="6"/>
  <c r="IL14" i="6"/>
  <c r="IK14" i="6"/>
  <c r="IJ14" i="6"/>
  <c r="IG14" i="6"/>
  <c r="IF14" i="6"/>
  <c r="IE14" i="6"/>
  <c r="ID14" i="6"/>
  <c r="IC14" i="6"/>
  <c r="FV14" i="6"/>
  <c r="FU14" i="6"/>
  <c r="FT14" i="6"/>
  <c r="FS14" i="6"/>
  <c r="FQ14" i="6"/>
  <c r="FP14" i="6"/>
  <c r="FO14" i="6"/>
  <c r="FJ14" i="6"/>
  <c r="FI14" i="6"/>
  <c r="FH14" i="6"/>
  <c r="FG14" i="6"/>
  <c r="FF14" i="6"/>
  <c r="FE14" i="6"/>
  <c r="FD14" i="6"/>
  <c r="FC14" i="6"/>
  <c r="FB14" i="6"/>
  <c r="FA14" i="6"/>
  <c r="EZ14" i="6"/>
  <c r="IU80" i="7"/>
  <c r="IT80" i="7"/>
  <c r="IS80" i="7"/>
  <c r="IQ80" i="7"/>
  <c r="IP80" i="7"/>
  <c r="IO80" i="7"/>
  <c r="GG80" i="7"/>
  <c r="GF80" i="7"/>
  <c r="GE80" i="7"/>
  <c r="GD80" i="7"/>
  <c r="GC80" i="7"/>
  <c r="GA80" i="7"/>
  <c r="FZ80" i="7"/>
  <c r="FY80" i="7"/>
  <c r="IM80" i="7"/>
  <c r="IL80" i="7"/>
  <c r="IK80" i="7"/>
  <c r="IJ80" i="7"/>
  <c r="IG80" i="7"/>
  <c r="IF80" i="7"/>
  <c r="IE80" i="7"/>
  <c r="ID80" i="7"/>
  <c r="IC80" i="7"/>
  <c r="FV80" i="7"/>
  <c r="FU80" i="7"/>
  <c r="FT80" i="7"/>
  <c r="FS80" i="7"/>
  <c r="FQ80" i="7"/>
  <c r="FP80" i="7"/>
  <c r="FO80" i="7"/>
  <c r="FJ80" i="7"/>
  <c r="FI80" i="7"/>
  <c r="FH80" i="7"/>
  <c r="FG80" i="7"/>
  <c r="FF80" i="7"/>
  <c r="FE80" i="7"/>
  <c r="FD80" i="7"/>
  <c r="FC80" i="7"/>
  <c r="FB80" i="7"/>
  <c r="FA80" i="7"/>
  <c r="EZ80" i="7"/>
  <c r="ER80" i="7"/>
  <c r="I105" i="7" s="1"/>
  <c r="EQ80" i="7"/>
  <c r="I104" i="7" s="1"/>
  <c r="EP80" i="7"/>
  <c r="I103" i="7" s="1"/>
  <c r="EO80" i="7"/>
  <c r="I102" i="7" s="1"/>
  <c r="EN80" i="7"/>
  <c r="I101" i="7" s="1"/>
  <c r="EM80" i="7"/>
  <c r="I100" i="7" s="1"/>
  <c r="EK80" i="7"/>
  <c r="I98" i="7" s="1"/>
  <c r="EJ80" i="7"/>
  <c r="I97" i="7" s="1"/>
  <c r="EI80" i="7"/>
  <c r="I96" i="7" s="1"/>
  <c r="EH80" i="7"/>
  <c r="I95" i="7" s="1"/>
  <c r="EG80" i="7"/>
  <c r="I94" i="7" s="1"/>
  <c r="EF80" i="7"/>
  <c r="I93" i="7" s="1"/>
  <c r="EE80" i="7"/>
  <c r="I92" i="7" s="1"/>
  <c r="ED80" i="7"/>
  <c r="I91" i="7" s="1"/>
  <c r="EC80" i="7"/>
  <c r="I90" i="7" s="1"/>
  <c r="BP80" i="6"/>
  <c r="BO80" i="6"/>
  <c r="BN80" i="6"/>
  <c r="BM80" i="6"/>
  <c r="BL80" i="6"/>
  <c r="BK80" i="6"/>
  <c r="BJ80" i="6"/>
  <c r="BI80" i="6"/>
  <c r="BH80" i="6"/>
  <c r="BG80" i="6"/>
  <c r="BF80" i="6"/>
  <c r="BE80" i="6"/>
  <c r="BD14" i="6"/>
  <c r="BC14" i="6"/>
  <c r="BB14" i="6"/>
  <c r="BA14" i="6"/>
  <c r="AZ14" i="6"/>
  <c r="AY14" i="6"/>
  <c r="DY14" i="6"/>
  <c r="DX14" i="6"/>
  <c r="DD14" i="6"/>
  <c r="BP80" i="7"/>
  <c r="BO80" i="7"/>
  <c r="BN80" i="7"/>
  <c r="BM80" i="7"/>
  <c r="BL80" i="7"/>
  <c r="BK80" i="7"/>
  <c r="BJ80" i="7"/>
  <c r="BI80" i="7"/>
  <c r="BH80" i="7"/>
  <c r="BG80" i="7"/>
  <c r="BF80" i="7"/>
  <c r="BE80" i="7"/>
  <c r="BD80" i="7"/>
  <c r="BC80" i="7"/>
  <c r="BB80" i="7"/>
  <c r="BA80" i="7"/>
  <c r="AZ80" i="7"/>
  <c r="AY80" i="7"/>
  <c r="DY80" i="7"/>
  <c r="DX80" i="7"/>
  <c r="DD80" i="7"/>
  <c r="CU80" i="7"/>
  <c r="K105" i="7" s="1"/>
  <c r="CT80" i="7"/>
  <c r="K104" i="7" s="1"/>
  <c r="CS80" i="7"/>
  <c r="K103" i="7" s="1"/>
  <c r="CR80" i="7"/>
  <c r="K102" i="7" s="1"/>
  <c r="CQ80" i="7"/>
  <c r="K101" i="7" s="1"/>
  <c r="CP80" i="7"/>
  <c r="K100" i="7" s="1"/>
  <c r="CN80" i="7"/>
  <c r="K98" i="7" s="1"/>
  <c r="CM80" i="7"/>
  <c r="K97" i="7" s="1"/>
  <c r="CL80" i="7"/>
  <c r="K96" i="7" s="1"/>
  <c r="CK80" i="7"/>
  <c r="K95" i="7" s="1"/>
  <c r="CJ80" i="7"/>
  <c r="K94" i="7" s="1"/>
  <c r="CI80" i="7"/>
  <c r="K93" i="7" s="1"/>
  <c r="CH80" i="7"/>
  <c r="K92" i="7" s="1"/>
  <c r="CG80" i="7"/>
  <c r="K91" i="7" s="1"/>
  <c r="CF80" i="7"/>
  <c r="K90" i="7" s="1"/>
  <c r="AN78" i="7"/>
  <c r="AN70" i="7"/>
  <c r="AN61" i="7"/>
  <c r="AN56" i="7"/>
  <c r="BX48" i="7"/>
  <c r="BT35" i="7"/>
  <c r="BV34" i="7"/>
  <c r="BT31" i="7"/>
  <c r="BT30" i="7"/>
  <c r="BT29" i="7"/>
  <c r="BU23" i="7"/>
  <c r="BW14" i="7"/>
  <c r="BS13" i="7"/>
  <c r="BS12" i="7"/>
  <c r="BS11" i="7"/>
  <c r="BR10" i="7"/>
  <c r="BR9" i="7"/>
  <c r="BR8" i="7"/>
  <c r="BR7" i="7"/>
  <c r="C51" i="7" l="1"/>
  <c r="C73" i="7"/>
  <c r="C73" i="10"/>
  <c r="F72" i="10"/>
  <c r="ER30" i="1"/>
  <c r="AK30" i="1"/>
  <c r="F63" i="10" s="1"/>
  <c r="B59" i="7"/>
  <c r="B59" i="10"/>
  <c r="F58" i="7"/>
  <c r="C51" i="10"/>
  <c r="F50" i="10"/>
  <c r="B73" i="7"/>
  <c r="C59" i="7"/>
  <c r="B51" i="7"/>
  <c r="A1" i="4"/>
  <c r="A2" i="4"/>
  <c r="A3" i="4"/>
  <c r="A4" i="4"/>
  <c r="A5" i="4"/>
  <c r="A6" i="4"/>
  <c r="A7" i="4"/>
  <c r="A8" i="4"/>
  <c r="A9" i="4"/>
  <c r="A10" i="4"/>
  <c r="A11" i="4"/>
  <c r="A12" i="4"/>
  <c r="A13" i="4"/>
  <c r="A14" i="4"/>
  <c r="A15" i="4"/>
  <c r="A16" i="4"/>
  <c r="A17" i="4"/>
  <c r="A18" i="4"/>
  <c r="A1" i="3"/>
  <c r="CY1" i="3"/>
  <c r="CZ1" i="3"/>
  <c r="DA1" i="3"/>
  <c r="DB1" i="3"/>
  <c r="DC1" i="3"/>
  <c r="A2" i="3"/>
  <c r="CY2" i="3"/>
  <c r="CZ2" i="3"/>
  <c r="DB2" i="3" s="1"/>
  <c r="DA2" i="3"/>
  <c r="DC2" i="3"/>
  <c r="A3" i="3"/>
  <c r="CY3" i="3"/>
  <c r="CZ3" i="3"/>
  <c r="DB3" i="3" s="1"/>
  <c r="DA3" i="3"/>
  <c r="DC3" i="3"/>
  <c r="A4" i="3"/>
  <c r="CY4" i="3"/>
  <c r="CZ4" i="3"/>
  <c r="DA4" i="3"/>
  <c r="DB4" i="3"/>
  <c r="DC4" i="3"/>
  <c r="A5" i="3"/>
  <c r="CY5" i="3"/>
  <c r="CZ5" i="3"/>
  <c r="DA5" i="3"/>
  <c r="DB5" i="3"/>
  <c r="DC5" i="3"/>
  <c r="A6" i="3"/>
  <c r="CY6" i="3"/>
  <c r="CZ6" i="3"/>
  <c r="DB6" i="3" s="1"/>
  <c r="DA6" i="3"/>
  <c r="DC6" i="3"/>
  <c r="A7" i="3"/>
  <c r="CY7" i="3"/>
  <c r="CZ7" i="3"/>
  <c r="DB7" i="3" s="1"/>
  <c r="DA7" i="3"/>
  <c r="DC7" i="3"/>
  <c r="A8" i="3"/>
  <c r="CY8" i="3"/>
  <c r="CZ8" i="3"/>
  <c r="DA8" i="3"/>
  <c r="DB8" i="3"/>
  <c r="DC8" i="3"/>
  <c r="A9" i="3"/>
  <c r="CY9" i="3"/>
  <c r="CZ9" i="3"/>
  <c r="DA9" i="3"/>
  <c r="DB9" i="3"/>
  <c r="DC9" i="3"/>
  <c r="A10" i="3"/>
  <c r="CY10" i="3"/>
  <c r="CZ10" i="3"/>
  <c r="DB10" i="3" s="1"/>
  <c r="DA10" i="3"/>
  <c r="DC10" i="3"/>
  <c r="A11" i="3"/>
  <c r="CY11" i="3"/>
  <c r="CZ11" i="3"/>
  <c r="DB11" i="3" s="1"/>
  <c r="DA11" i="3"/>
  <c r="DC11" i="3"/>
  <c r="A12" i="3"/>
  <c r="CY12" i="3"/>
  <c r="CZ12" i="3"/>
  <c r="DA12" i="3"/>
  <c r="DB12" i="3"/>
  <c r="DC12" i="3"/>
  <c r="A13" i="3"/>
  <c r="CY13" i="3"/>
  <c r="CZ13" i="3"/>
  <c r="DA13" i="3"/>
  <c r="DB13" i="3"/>
  <c r="DC13" i="3"/>
  <c r="A14" i="3"/>
  <c r="CY14" i="3"/>
  <c r="CZ14" i="3"/>
  <c r="DB14" i="3" s="1"/>
  <c r="DA14" i="3"/>
  <c r="DC14" i="3"/>
  <c r="A15" i="3"/>
  <c r="CY15" i="3"/>
  <c r="CZ15" i="3"/>
  <c r="DB15" i="3" s="1"/>
  <c r="DA15" i="3"/>
  <c r="DC15" i="3"/>
  <c r="A16" i="3"/>
  <c r="CY16" i="3"/>
  <c r="CZ16" i="3"/>
  <c r="DA16" i="3"/>
  <c r="DB16" i="3"/>
  <c r="DC16"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5" i="1"/>
  <c r="D25" i="1"/>
  <c r="CX2" i="3"/>
  <c r="K25" i="1"/>
  <c r="AC25" i="1"/>
  <c r="CQ25" i="1" s="1"/>
  <c r="P25" i="1" s="1"/>
  <c r="AE25" i="1"/>
  <c r="AD25" i="1" s="1"/>
  <c r="AF25" i="1"/>
  <c r="AG25" i="1"/>
  <c r="CU25" i="1" s="1"/>
  <c r="T25" i="1" s="1"/>
  <c r="AH25" i="1"/>
  <c r="AI25" i="1"/>
  <c r="AJ25" i="1"/>
  <c r="CS25" i="1"/>
  <c r="R25" i="1" s="1"/>
  <c r="CT25" i="1"/>
  <c r="S25" i="1" s="1"/>
  <c r="CV25" i="1"/>
  <c r="U25" i="1" s="1"/>
  <c r="CW25" i="1"/>
  <c r="V25" i="1" s="1"/>
  <c r="CX25" i="1"/>
  <c r="W25" i="1" s="1"/>
  <c r="FR25" i="1"/>
  <c r="GL25" i="1"/>
  <c r="GO25" i="1"/>
  <c r="GP25" i="1"/>
  <c r="GV25" i="1"/>
  <c r="HC25" i="1"/>
  <c r="GX25" i="1" s="1"/>
  <c r="C26" i="1"/>
  <c r="D26" i="1"/>
  <c r="CX4" i="3"/>
  <c r="K26" i="1"/>
  <c r="AC26" i="1"/>
  <c r="CQ26" i="1" s="1"/>
  <c r="P26" i="1" s="1"/>
  <c r="AE26" i="1"/>
  <c r="AF26" i="1"/>
  <c r="AG26" i="1"/>
  <c r="CU26" i="1" s="1"/>
  <c r="T26" i="1" s="1"/>
  <c r="AH26" i="1"/>
  <c r="AI26" i="1"/>
  <c r="AJ26" i="1"/>
  <c r="CT26" i="1"/>
  <c r="S26" i="1" s="1"/>
  <c r="CV26" i="1"/>
  <c r="U26" i="1" s="1"/>
  <c r="CW26" i="1"/>
  <c r="V26" i="1" s="1"/>
  <c r="CX26" i="1"/>
  <c r="W26" i="1" s="1"/>
  <c r="FR26" i="1"/>
  <c r="GL26" i="1"/>
  <c r="GO26" i="1"/>
  <c r="GP26" i="1"/>
  <c r="GV26" i="1"/>
  <c r="HC26" i="1"/>
  <c r="GX26" i="1" s="1"/>
  <c r="C27" i="1"/>
  <c r="D27" i="1"/>
  <c r="CX5" i="3"/>
  <c r="K27" i="1"/>
  <c r="S27" i="1"/>
  <c r="U27" i="1"/>
  <c r="AC27" i="1"/>
  <c r="CQ27" i="1" s="1"/>
  <c r="AD27" i="1"/>
  <c r="AE27" i="1"/>
  <c r="AF27" i="1"/>
  <c r="AB27" i="1" s="1"/>
  <c r="AG27" i="1"/>
  <c r="CU27" i="1" s="1"/>
  <c r="AH27" i="1"/>
  <c r="AI27" i="1"/>
  <c r="CW27" i="1" s="1"/>
  <c r="V27" i="1" s="1"/>
  <c r="AJ27" i="1"/>
  <c r="CR27" i="1"/>
  <c r="Q27" i="1" s="1"/>
  <c r="CS27" i="1"/>
  <c r="R27" i="1" s="1"/>
  <c r="CT27" i="1"/>
  <c r="CV27" i="1"/>
  <c r="CX27" i="1"/>
  <c r="W27" i="1" s="1"/>
  <c r="FR27" i="1"/>
  <c r="GL27" i="1"/>
  <c r="GO27" i="1"/>
  <c r="GP27" i="1"/>
  <c r="GV27" i="1"/>
  <c r="GX27" i="1"/>
  <c r="HC27" i="1"/>
  <c r="C28" i="1"/>
  <c r="D28" i="1"/>
  <c r="CX6" i="3"/>
  <c r="K28" i="1"/>
  <c r="R28" i="1"/>
  <c r="V28" i="1"/>
  <c r="AC28" i="1"/>
  <c r="AD28" i="1"/>
  <c r="AE28" i="1"/>
  <c r="AF28" i="1"/>
  <c r="CT28" i="1" s="1"/>
  <c r="AG28" i="1"/>
  <c r="AH28" i="1"/>
  <c r="AI28" i="1"/>
  <c r="AJ28" i="1"/>
  <c r="CX28" i="1" s="1"/>
  <c r="W28" i="1" s="1"/>
  <c r="CQ28" i="1"/>
  <c r="P28" i="1" s="1"/>
  <c r="CS28" i="1"/>
  <c r="CU28" i="1"/>
  <c r="T28" i="1" s="1"/>
  <c r="CV28" i="1"/>
  <c r="U28" i="1" s="1"/>
  <c r="CW28" i="1"/>
  <c r="FR28" i="1"/>
  <c r="GL28" i="1"/>
  <c r="GO28" i="1"/>
  <c r="GP28" i="1"/>
  <c r="GV28" i="1"/>
  <c r="HC28" i="1"/>
  <c r="GX28" i="1" s="1"/>
  <c r="C29" i="1"/>
  <c r="D29" i="1"/>
  <c r="S29" i="1"/>
  <c r="K29" i="1"/>
  <c r="AC29" i="1"/>
  <c r="CQ29" i="1" s="1"/>
  <c r="AE29" i="1"/>
  <c r="CS29" i="1" s="1"/>
  <c r="AF29" i="1"/>
  <c r="AG29" i="1"/>
  <c r="AH29" i="1"/>
  <c r="AI29" i="1"/>
  <c r="AJ29" i="1"/>
  <c r="CT29" i="1"/>
  <c r="CU29" i="1"/>
  <c r="CV29" i="1"/>
  <c r="CW29" i="1"/>
  <c r="CX29" i="1"/>
  <c r="FR29" i="1"/>
  <c r="GL29" i="1"/>
  <c r="GO29" i="1"/>
  <c r="GP29" i="1"/>
  <c r="GV29" i="1"/>
  <c r="HC29" i="1"/>
  <c r="C30" i="1"/>
  <c r="D30" i="1"/>
  <c r="K30" i="1"/>
  <c r="AC30" i="1"/>
  <c r="CQ30" i="1" s="1"/>
  <c r="AE30" i="1"/>
  <c r="AF30" i="1"/>
  <c r="AG30" i="1"/>
  <c r="CU30" i="1" s="1"/>
  <c r="AH30" i="1"/>
  <c r="AI30" i="1"/>
  <c r="AJ30" i="1"/>
  <c r="CX30" i="1" s="1"/>
  <c r="W30" i="1" s="1"/>
  <c r="CW30" i="1"/>
  <c r="FR30" i="1"/>
  <c r="GL30" i="1"/>
  <c r="GO30" i="1"/>
  <c r="GP30" i="1"/>
  <c r="GV30" i="1"/>
  <c r="HC30" i="1"/>
  <c r="C31" i="1"/>
  <c r="D31" i="1"/>
  <c r="CX15" i="3"/>
  <c r="K31" i="1"/>
  <c r="AC31" i="1"/>
  <c r="CQ31" i="1" s="1"/>
  <c r="P31" i="1" s="1"/>
  <c r="AE31" i="1"/>
  <c r="AD31" i="1" s="1"/>
  <c r="AF31" i="1"/>
  <c r="CT31" i="1" s="1"/>
  <c r="S31" i="1" s="1"/>
  <c r="AG31" i="1"/>
  <c r="CU31" i="1" s="1"/>
  <c r="T31" i="1" s="1"/>
  <c r="AH31" i="1"/>
  <c r="AI31" i="1"/>
  <c r="AJ31" i="1"/>
  <c r="CX31" i="1" s="1"/>
  <c r="W31" i="1" s="1"/>
  <c r="CS31" i="1"/>
  <c r="R31" i="1" s="1"/>
  <c r="CV31" i="1"/>
  <c r="U31" i="1" s="1"/>
  <c r="CW31" i="1"/>
  <c r="V31" i="1" s="1"/>
  <c r="FR31" i="1"/>
  <c r="GL31" i="1"/>
  <c r="GO31" i="1"/>
  <c r="GP31" i="1"/>
  <c r="GV31" i="1"/>
  <c r="HC31" i="1"/>
  <c r="GX31" i="1" s="1"/>
  <c r="C32" i="1"/>
  <c r="D32" i="1"/>
  <c r="CX16" i="3"/>
  <c r="K32" i="1"/>
  <c r="AC32" i="1"/>
  <c r="CQ32" i="1" s="1"/>
  <c r="P32" i="1" s="1"/>
  <c r="AE32" i="1"/>
  <c r="AD32" i="1" s="1"/>
  <c r="AF32" i="1"/>
  <c r="AG32" i="1"/>
  <c r="CU32" i="1" s="1"/>
  <c r="T32" i="1" s="1"/>
  <c r="AH32" i="1"/>
  <c r="H77" i="10" s="1"/>
  <c r="AI32" i="1"/>
  <c r="AJ32" i="1"/>
  <c r="CX32" i="1" s="1"/>
  <c r="W32" i="1" s="1"/>
  <c r="CS32" i="1"/>
  <c r="R32" i="1" s="1"/>
  <c r="CW32" i="1"/>
  <c r="V32" i="1" s="1"/>
  <c r="FR32" i="1"/>
  <c r="GL32" i="1"/>
  <c r="GO32" i="1"/>
  <c r="GP32" i="1"/>
  <c r="GV32" i="1"/>
  <c r="HC32" i="1"/>
  <c r="GX32" i="1" s="1"/>
  <c r="B34" i="1"/>
  <c r="B22" i="1" s="1"/>
  <c r="C34" i="1"/>
  <c r="C22" i="1" s="1"/>
  <c r="D34" i="1"/>
  <c r="D22" i="1" s="1"/>
  <c r="F34" i="1"/>
  <c r="F22" i="1" s="1"/>
  <c r="G34" i="1"/>
  <c r="G22" i="1" s="1"/>
  <c r="BB34" i="1"/>
  <c r="BB22" i="1" s="1"/>
  <c r="BX34" i="1"/>
  <c r="BX22" i="1" s="1"/>
  <c r="CK34" i="1"/>
  <c r="CK22" i="1" s="1"/>
  <c r="CL34" i="1"/>
  <c r="CL22" i="1" s="1"/>
  <c r="FP34" i="1"/>
  <c r="FP22" i="1" s="1"/>
  <c r="GC34" i="1"/>
  <c r="GC22" i="1" s="1"/>
  <c r="GD34" i="1"/>
  <c r="GD22" i="1" s="1"/>
  <c r="B64" i="1"/>
  <c r="B18" i="1" s="1"/>
  <c r="C64" i="1"/>
  <c r="C18" i="1" s="1"/>
  <c r="D64" i="1"/>
  <c r="D18" i="1" s="1"/>
  <c r="F64" i="1"/>
  <c r="F18" i="1" s="1"/>
  <c r="G64" i="1"/>
  <c r="G18" i="1" s="1"/>
  <c r="H76" i="10" l="1"/>
  <c r="T75" i="10"/>
  <c r="H75" i="10"/>
  <c r="T74" i="10"/>
  <c r="T76" i="10"/>
  <c r="H74" i="10"/>
  <c r="F63" i="7"/>
  <c r="H68" i="10"/>
  <c r="T67" i="10"/>
  <c r="T64" i="10"/>
  <c r="H67" i="10"/>
  <c r="H64" i="10"/>
  <c r="T68" i="10"/>
  <c r="H66" i="10"/>
  <c r="GM66" i="10"/>
  <c r="H69" i="7"/>
  <c r="H69" i="10"/>
  <c r="CR28" i="1"/>
  <c r="Q28" i="1" s="1"/>
  <c r="U60" i="7" s="1"/>
  <c r="T60" i="10"/>
  <c r="H60" i="10"/>
  <c r="H55" i="10"/>
  <c r="H53" i="10"/>
  <c r="H54" i="10"/>
  <c r="T55" i="10"/>
  <c r="GM53" i="10"/>
  <c r="T54" i="10"/>
  <c r="CV32" i="1"/>
  <c r="U32" i="1" s="1"/>
  <c r="H77" i="7"/>
  <c r="CV30" i="1"/>
  <c r="CT32" i="1"/>
  <c r="S32" i="1" s="1"/>
  <c r="H76" i="7"/>
  <c r="T75" i="7"/>
  <c r="H75" i="7"/>
  <c r="T74" i="7"/>
  <c r="T76" i="7"/>
  <c r="H74" i="7"/>
  <c r="CC34" i="1"/>
  <c r="AT34" i="1" s="1"/>
  <c r="AT64" i="1" s="1"/>
  <c r="AT18" i="1" s="1"/>
  <c r="BZ34" i="1"/>
  <c r="BZ22" i="1" s="1"/>
  <c r="AD30" i="1"/>
  <c r="H66" i="7"/>
  <c r="GM66" i="7"/>
  <c r="CT30" i="1"/>
  <c r="S30" i="1" s="1"/>
  <c r="H68" i="7"/>
  <c r="T67" i="7"/>
  <c r="T64" i="7"/>
  <c r="H67" i="7"/>
  <c r="H64" i="7"/>
  <c r="T68" i="7"/>
  <c r="CS30" i="1"/>
  <c r="R30" i="1" s="1"/>
  <c r="FV34" i="1"/>
  <c r="EM34" i="1" s="1"/>
  <c r="CD34" i="1"/>
  <c r="CD22" i="1" s="1"/>
  <c r="AB28" i="1"/>
  <c r="T60" i="7"/>
  <c r="H60" i="7"/>
  <c r="FR34" i="1"/>
  <c r="EI34" i="1" s="1"/>
  <c r="FQ34" i="1"/>
  <c r="FQ22" i="1" s="1"/>
  <c r="BY34" i="1"/>
  <c r="BY22" i="1" s="1"/>
  <c r="FU34" i="1"/>
  <c r="FU22" i="1" s="1"/>
  <c r="AD26" i="1"/>
  <c r="H55" i="7"/>
  <c r="H53" i="7"/>
  <c r="H54" i="7"/>
  <c r="T55" i="7"/>
  <c r="GM53" i="7"/>
  <c r="T54" i="7"/>
  <c r="P29" i="1"/>
  <c r="V30" i="1"/>
  <c r="EA34" i="1" s="1"/>
  <c r="U30" i="1"/>
  <c r="I69" i="10" s="1"/>
  <c r="P30" i="1"/>
  <c r="DU34" i="1" s="1"/>
  <c r="GX30" i="1"/>
  <c r="GB34" i="1" s="1"/>
  <c r="ES34" i="1" s="1"/>
  <c r="T30" i="1"/>
  <c r="DY34" i="1" s="1"/>
  <c r="DY22" i="1" s="1"/>
  <c r="GX29" i="1"/>
  <c r="CJ34" i="1" s="1"/>
  <c r="BA34" i="1" s="1"/>
  <c r="U29" i="1"/>
  <c r="AH34" i="1" s="1"/>
  <c r="R29" i="1"/>
  <c r="CZ29" i="1" s="1"/>
  <c r="Y29" i="1" s="1"/>
  <c r="W29" i="1"/>
  <c r="AJ34" i="1" s="1"/>
  <c r="W34" i="1" s="1"/>
  <c r="T29" i="1"/>
  <c r="V29" i="1"/>
  <c r="AI34" i="1" s="1"/>
  <c r="F47" i="1"/>
  <c r="AO34" i="1"/>
  <c r="CZ31" i="1"/>
  <c r="Y31" i="1" s="1"/>
  <c r="AF34" i="1"/>
  <c r="CY31" i="1"/>
  <c r="X31" i="1" s="1"/>
  <c r="EB34" i="1"/>
  <c r="CZ27" i="1"/>
  <c r="Y27" i="1" s="1"/>
  <c r="CR32" i="1"/>
  <c r="Q32" i="1" s="1"/>
  <c r="AB32" i="1"/>
  <c r="CR31" i="1"/>
  <c r="Q31" i="1" s="1"/>
  <c r="CP31" i="1" s="1"/>
  <c r="O31" i="1" s="1"/>
  <c r="AB31" i="1"/>
  <c r="CR30" i="1"/>
  <c r="Q30" i="1" s="1"/>
  <c r="BB64" i="1"/>
  <c r="EU34" i="1"/>
  <c r="EG34" i="1"/>
  <c r="BC34" i="1"/>
  <c r="T27" i="1"/>
  <c r="P27" i="1"/>
  <c r="CY27" i="1"/>
  <c r="X27" i="1" s="1"/>
  <c r="CR25" i="1"/>
  <c r="Q25" i="1" s="1"/>
  <c r="CP25" i="1" s="1"/>
  <c r="O25" i="1" s="1"/>
  <c r="AB25" i="1"/>
  <c r="ET34" i="1"/>
  <c r="CX12" i="3"/>
  <c r="CX11" i="3"/>
  <c r="CX14" i="3"/>
  <c r="CX13" i="3"/>
  <c r="AD29" i="1"/>
  <c r="CR29" i="1" s="1"/>
  <c r="Q29" i="1" s="1"/>
  <c r="CX8" i="3"/>
  <c r="CX7" i="3"/>
  <c r="CX10" i="3"/>
  <c r="CX9" i="3"/>
  <c r="S28" i="1"/>
  <c r="CP28" i="1" s="1"/>
  <c r="O28" i="1" s="1"/>
  <c r="CY25" i="1"/>
  <c r="X25" i="1" s="1"/>
  <c r="CZ25" i="1"/>
  <c r="Y25" i="1" s="1"/>
  <c r="CS26" i="1"/>
  <c r="R26" i="1" s="1"/>
  <c r="K53" i="10" s="1"/>
  <c r="CX1" i="3"/>
  <c r="CX3" i="3"/>
  <c r="DJ80" i="10" l="1"/>
  <c r="K118" i="10" s="1"/>
  <c r="DJ14" i="9"/>
  <c r="DT80" i="10"/>
  <c r="K133" i="10" s="1"/>
  <c r="DT14" i="9"/>
  <c r="R78" i="10"/>
  <c r="HN74" i="10"/>
  <c r="HX74" i="10"/>
  <c r="I74" i="10"/>
  <c r="HB74" i="10"/>
  <c r="AP74" i="10"/>
  <c r="HL74" i="10"/>
  <c r="GK74" i="10"/>
  <c r="HF74" i="10"/>
  <c r="GJ74" i="10"/>
  <c r="I77" i="7"/>
  <c r="I77" i="10"/>
  <c r="U74" i="10"/>
  <c r="V74" i="10"/>
  <c r="HB75" i="10"/>
  <c r="HF75" i="10"/>
  <c r="I75" i="10"/>
  <c r="HN75" i="10"/>
  <c r="GY75" i="10"/>
  <c r="HL75" i="10"/>
  <c r="AP75" i="10"/>
  <c r="HN76" i="10"/>
  <c r="GZ76" i="10"/>
  <c r="HB76" i="10"/>
  <c r="HL76" i="10"/>
  <c r="AP76" i="10"/>
  <c r="HF76" i="10"/>
  <c r="I76" i="10"/>
  <c r="CZ32" i="1"/>
  <c r="Y32" i="1" s="1"/>
  <c r="HX66" i="10"/>
  <c r="I66" i="10"/>
  <c r="U64" i="10"/>
  <c r="V64" i="10"/>
  <c r="HL64" i="10"/>
  <c r="GK64" i="10"/>
  <c r="HN64" i="10"/>
  <c r="HF64" i="10"/>
  <c r="GJ64" i="10"/>
  <c r="I64" i="10"/>
  <c r="HB64" i="10"/>
  <c r="AP64" i="10"/>
  <c r="HX64" i="10"/>
  <c r="K66" i="7"/>
  <c r="K66" i="10"/>
  <c r="HN68" i="10"/>
  <c r="GZ68" i="10"/>
  <c r="HL68" i="10"/>
  <c r="AP68" i="10"/>
  <c r="HB68" i="10"/>
  <c r="HF68" i="10"/>
  <c r="I68" i="10"/>
  <c r="HB67" i="10"/>
  <c r="HF67" i="10"/>
  <c r="HN67" i="10"/>
  <c r="GY67" i="10"/>
  <c r="HL67" i="10"/>
  <c r="AP67" i="10"/>
  <c r="I67" i="10"/>
  <c r="U65" i="7"/>
  <c r="U65" i="10"/>
  <c r="H65" i="7"/>
  <c r="T65" i="10"/>
  <c r="R70" i="10" s="1"/>
  <c r="H65" i="10"/>
  <c r="AB30" i="1"/>
  <c r="T65" i="7"/>
  <c r="HL65" i="7" s="1"/>
  <c r="R61" i="10"/>
  <c r="HF60" i="10"/>
  <c r="AP60" i="10"/>
  <c r="AM61" i="10" s="1"/>
  <c r="I58" i="10" s="1"/>
  <c r="HO60" i="10"/>
  <c r="HB60" i="10"/>
  <c r="I60" i="10"/>
  <c r="HM60" i="10"/>
  <c r="GL60" i="10"/>
  <c r="HK60" i="10"/>
  <c r="GJ60" i="10"/>
  <c r="U60" i="10"/>
  <c r="HN55" i="10"/>
  <c r="GZ55" i="10"/>
  <c r="HL55" i="10"/>
  <c r="AP55" i="10"/>
  <c r="HB55" i="10"/>
  <c r="HF55" i="10"/>
  <c r="I55" i="10"/>
  <c r="HB54" i="10"/>
  <c r="HN54" i="10"/>
  <c r="GY54" i="10"/>
  <c r="HF54" i="10"/>
  <c r="HL54" i="10"/>
  <c r="AP54" i="10"/>
  <c r="I54" i="10"/>
  <c r="HX53" i="10"/>
  <c r="I53" i="10"/>
  <c r="T52" i="7"/>
  <c r="GJ52" i="7" s="1"/>
  <c r="T52" i="10"/>
  <c r="R56" i="10" s="1"/>
  <c r="H52" i="10"/>
  <c r="CC22" i="1"/>
  <c r="EY14" i="6"/>
  <c r="EY80" i="7"/>
  <c r="EI64" i="1"/>
  <c r="EI18" i="1" s="1"/>
  <c r="DJ80" i="7"/>
  <c r="K118" i="7" s="1"/>
  <c r="DJ14" i="6"/>
  <c r="P53" i="1"/>
  <c r="DT80" i="7"/>
  <c r="K133" i="7" s="1"/>
  <c r="DT14" i="6"/>
  <c r="DW80" i="7"/>
  <c r="DW14" i="6"/>
  <c r="CY32" i="1"/>
  <c r="X32" i="1" s="1"/>
  <c r="CP32" i="1"/>
  <c r="O32" i="1" s="1"/>
  <c r="GN32" i="1" s="1"/>
  <c r="R78" i="7"/>
  <c r="HN74" i="7"/>
  <c r="HX74" i="7"/>
  <c r="I74" i="7"/>
  <c r="HL74" i="7"/>
  <c r="GK74" i="7"/>
  <c r="AP74" i="7"/>
  <c r="HF74" i="7"/>
  <c r="GJ74" i="7"/>
  <c r="HB74" i="7"/>
  <c r="U74" i="7"/>
  <c r="V74" i="7"/>
  <c r="HB75" i="7"/>
  <c r="HF75" i="7"/>
  <c r="HN75" i="7"/>
  <c r="GY75" i="7"/>
  <c r="HL75" i="7"/>
  <c r="AP75" i="7"/>
  <c r="I75" i="7"/>
  <c r="HN76" i="7"/>
  <c r="GZ76" i="7"/>
  <c r="HB76" i="7"/>
  <c r="HL76" i="7"/>
  <c r="AP76" i="7"/>
  <c r="HF76" i="7"/>
  <c r="I76" i="7"/>
  <c r="AQ34" i="1"/>
  <c r="AQ64" i="1" s="1"/>
  <c r="AP34" i="1"/>
  <c r="AP64" i="1" s="1"/>
  <c r="CI34" i="1"/>
  <c r="AZ34" i="1" s="1"/>
  <c r="CG34" i="1"/>
  <c r="CG22" i="1" s="1"/>
  <c r="FY34" i="1"/>
  <c r="EP34" i="1" s="1"/>
  <c r="H52" i="7"/>
  <c r="CY29" i="1"/>
  <c r="X29" i="1" s="1"/>
  <c r="EI22" i="1"/>
  <c r="FR22" i="1"/>
  <c r="CR26" i="1"/>
  <c r="Q26" i="1" s="1"/>
  <c r="U52" i="10" s="1"/>
  <c r="HL64" i="7"/>
  <c r="GK64" i="7"/>
  <c r="HF64" i="7"/>
  <c r="GJ64" i="7"/>
  <c r="HX64" i="7"/>
  <c r="I64" i="7"/>
  <c r="HB64" i="7"/>
  <c r="AP64" i="7"/>
  <c r="HN64" i="7"/>
  <c r="HX66" i="7"/>
  <c r="I66" i="7"/>
  <c r="DZ34" i="1"/>
  <c r="DZ22" i="1" s="1"/>
  <c r="I69" i="7"/>
  <c r="AB26" i="1"/>
  <c r="HN68" i="7"/>
  <c r="GZ68" i="7"/>
  <c r="HL68" i="7"/>
  <c r="AP68" i="7"/>
  <c r="HB68" i="7"/>
  <c r="HF68" i="7"/>
  <c r="I68" i="7"/>
  <c r="HB67" i="7"/>
  <c r="HN67" i="7"/>
  <c r="GY67" i="7"/>
  <c r="I67" i="7"/>
  <c r="HL67" i="7"/>
  <c r="AP67" i="7"/>
  <c r="HF67" i="7"/>
  <c r="U64" i="7"/>
  <c r="V64" i="7"/>
  <c r="CO80" i="7" s="1"/>
  <c r="K99" i="7" s="1"/>
  <c r="P44" i="1"/>
  <c r="FV22" i="1"/>
  <c r="CZ30" i="1"/>
  <c r="Y30" i="1" s="1"/>
  <c r="CY30" i="1"/>
  <c r="X30" i="1" s="1"/>
  <c r="U67" i="10" s="1"/>
  <c r="AR65" i="7"/>
  <c r="K65" i="7"/>
  <c r="AU34" i="1"/>
  <c r="AU64" i="1" s="1"/>
  <c r="EH34" i="1"/>
  <c r="DL34" i="1"/>
  <c r="DL64" i="1" s="1"/>
  <c r="AJ22" i="1"/>
  <c r="GA34" i="1"/>
  <c r="GA22" i="1" s="1"/>
  <c r="R61" i="7"/>
  <c r="HF60" i="7"/>
  <c r="AP60" i="7"/>
  <c r="AM61" i="7" s="1"/>
  <c r="I58" i="7" s="1"/>
  <c r="GL60" i="7"/>
  <c r="HO60" i="7"/>
  <c r="HB60" i="7"/>
  <c r="I60" i="7"/>
  <c r="HM60" i="7"/>
  <c r="HK60" i="7"/>
  <c r="GJ60" i="7"/>
  <c r="S61" i="7"/>
  <c r="J61" i="7" s="1"/>
  <c r="K60" i="7"/>
  <c r="AR60" i="7"/>
  <c r="AO61" i="7" s="1"/>
  <c r="EL34" i="1"/>
  <c r="AG34" i="1"/>
  <c r="AG22" i="1" s="1"/>
  <c r="GB22" i="1"/>
  <c r="CJ22" i="1"/>
  <c r="I53" i="7"/>
  <c r="HX53" i="7"/>
  <c r="HN55" i="7"/>
  <c r="GZ55" i="7"/>
  <c r="HL55" i="7"/>
  <c r="AP55" i="7"/>
  <c r="HF55" i="7"/>
  <c r="I55" i="7"/>
  <c r="HB55" i="7"/>
  <c r="HB54" i="7"/>
  <c r="HN54" i="7"/>
  <c r="GY54" i="7"/>
  <c r="AP54" i="7"/>
  <c r="HL54" i="7"/>
  <c r="HF54" i="7"/>
  <c r="I54" i="7"/>
  <c r="CY26" i="1"/>
  <c r="X26" i="1" s="1"/>
  <c r="K53" i="7"/>
  <c r="CP29" i="1"/>
  <c r="O29" i="1" s="1"/>
  <c r="GN29" i="1" s="1"/>
  <c r="AE34" i="1"/>
  <c r="AE22" i="1" s="1"/>
  <c r="F52" i="1"/>
  <c r="F16" i="2" s="1"/>
  <c r="F18" i="2" s="1"/>
  <c r="AT22" i="1"/>
  <c r="EM22" i="1"/>
  <c r="EM64" i="1"/>
  <c r="F82" i="1"/>
  <c r="AK34" i="1"/>
  <c r="CZ26" i="1"/>
  <c r="Y26" i="1" s="1"/>
  <c r="U55" i="10" s="1"/>
  <c r="DW34" i="1"/>
  <c r="CZ28" i="1"/>
  <c r="Y28" i="1" s="1"/>
  <c r="DX34" i="1"/>
  <c r="CY28" i="1"/>
  <c r="X28" i="1" s="1"/>
  <c r="K58" i="10" s="1"/>
  <c r="ET22" i="1"/>
  <c r="P47" i="1"/>
  <c r="ET64" i="1"/>
  <c r="AB29" i="1"/>
  <c r="BC22" i="1"/>
  <c r="F50" i="1"/>
  <c r="BC64" i="1"/>
  <c r="DU22" i="1"/>
  <c r="FX34" i="1"/>
  <c r="DH34" i="1"/>
  <c r="FW34" i="1"/>
  <c r="FZ34" i="1"/>
  <c r="BB18" i="1"/>
  <c r="F77" i="1"/>
  <c r="ES22" i="1"/>
  <c r="P54" i="1"/>
  <c r="ES64" i="1"/>
  <c r="BA22" i="1"/>
  <c r="F54" i="1"/>
  <c r="BA64" i="1"/>
  <c r="GM25" i="1"/>
  <c r="GN25" i="1"/>
  <c r="EU22" i="1"/>
  <c r="P50" i="1"/>
  <c r="EU64" i="1"/>
  <c r="CP30" i="1"/>
  <c r="O30" i="1" s="1"/>
  <c r="EG22" i="1"/>
  <c r="P38" i="1"/>
  <c r="EG64" i="1"/>
  <c r="EB22" i="1"/>
  <c r="DO34" i="1"/>
  <c r="AD34" i="1"/>
  <c r="CP27" i="1"/>
  <c r="O27" i="1" s="1"/>
  <c r="AC34" i="1"/>
  <c r="GN31" i="1"/>
  <c r="GM31" i="1"/>
  <c r="EA22" i="1"/>
  <c r="DN34" i="1"/>
  <c r="AI22" i="1"/>
  <c r="V34" i="1"/>
  <c r="AL34" i="1"/>
  <c r="AH22" i="1"/>
  <c r="U34" i="1"/>
  <c r="W22" i="1"/>
  <c r="F58" i="1"/>
  <c r="W64" i="1"/>
  <c r="AF22" i="1"/>
  <c r="S34" i="1"/>
  <c r="AO22" i="1"/>
  <c r="F38" i="1"/>
  <c r="AO64" i="1"/>
  <c r="F44" i="1" l="1"/>
  <c r="CI22" i="1"/>
  <c r="FY22" i="1"/>
  <c r="W16" i="2"/>
  <c r="W18" i="2" s="1"/>
  <c r="DR80" i="10"/>
  <c r="K131" i="10" s="1"/>
  <c r="DR14" i="9"/>
  <c r="DG80" i="10"/>
  <c r="K115" i="10" s="1"/>
  <c r="DG14" i="9"/>
  <c r="DC14" i="9"/>
  <c r="DC80" i="10"/>
  <c r="K110" i="10" s="1"/>
  <c r="P43" i="1"/>
  <c r="V16" i="2" s="1"/>
  <c r="V18" i="2" s="1"/>
  <c r="DI14" i="9"/>
  <c r="DS80" i="10"/>
  <c r="K132" i="10" s="1"/>
  <c r="DS14" i="9"/>
  <c r="DI80" i="10"/>
  <c r="K117" i="10" s="1"/>
  <c r="U75" i="7"/>
  <c r="AR75" i="7" s="1"/>
  <c r="U75" i="10"/>
  <c r="AM78" i="10"/>
  <c r="I72" i="10" s="1"/>
  <c r="U76" i="7"/>
  <c r="U76" i="10"/>
  <c r="K74" i="10"/>
  <c r="S78" i="10"/>
  <c r="J78" i="10" s="1"/>
  <c r="AR74" i="10"/>
  <c r="H78" i="10"/>
  <c r="HA78" i="10"/>
  <c r="GM32" i="1"/>
  <c r="K75" i="7"/>
  <c r="K72" i="10"/>
  <c r="K72" i="7"/>
  <c r="HN65" i="7"/>
  <c r="HL52" i="7"/>
  <c r="IH80" i="7" s="1"/>
  <c r="R56" i="7"/>
  <c r="HF65" i="7"/>
  <c r="H70" i="10"/>
  <c r="HA70" i="10"/>
  <c r="K67" i="10"/>
  <c r="AR67" i="10"/>
  <c r="AR64" i="10"/>
  <c r="K64" i="10"/>
  <c r="AQ22" i="1"/>
  <c r="U68" i="7"/>
  <c r="U68" i="10"/>
  <c r="GL65" i="7"/>
  <c r="AP65" i="7"/>
  <c r="R70" i="7"/>
  <c r="P80" i="7" s="1"/>
  <c r="HB65" i="10"/>
  <c r="HN65" i="10"/>
  <c r="GL65" i="10"/>
  <c r="HL65" i="10"/>
  <c r="GJ65" i="10"/>
  <c r="HF65" i="10"/>
  <c r="AP65" i="10"/>
  <c r="AM70" i="10" s="1"/>
  <c r="I63" i="10" s="1"/>
  <c r="I65" i="10"/>
  <c r="I65" i="7"/>
  <c r="GJ65" i="7"/>
  <c r="EV14" i="6" s="1"/>
  <c r="K63" i="10"/>
  <c r="K65" i="10"/>
  <c r="AR65" i="10"/>
  <c r="HB65" i="7"/>
  <c r="FN80" i="7" s="1"/>
  <c r="EL80" i="7"/>
  <c r="I99" i="7" s="1"/>
  <c r="FX80" i="7"/>
  <c r="EW80" i="7"/>
  <c r="FX14" i="6"/>
  <c r="EW14" i="6"/>
  <c r="P55" i="1"/>
  <c r="DL22" i="1"/>
  <c r="HN52" i="7"/>
  <c r="II80" i="7" s="1"/>
  <c r="HB52" i="7"/>
  <c r="HF52" i="7"/>
  <c r="S61" i="10"/>
  <c r="J61" i="10" s="1"/>
  <c r="K60" i="10"/>
  <c r="AR60" i="10"/>
  <c r="AO61" i="10" s="1"/>
  <c r="EC34" i="1"/>
  <c r="EC22" i="1" s="1"/>
  <c r="HA61" i="10"/>
  <c r="H61" i="10"/>
  <c r="FW14" i="6"/>
  <c r="FW80" i="7"/>
  <c r="I124" i="7" s="1"/>
  <c r="IB80" i="7"/>
  <c r="IB14" i="6"/>
  <c r="K55" i="10"/>
  <c r="AR55" i="10"/>
  <c r="U54" i="7"/>
  <c r="U54" i="10"/>
  <c r="H56" i="10"/>
  <c r="HA56" i="10"/>
  <c r="GL52" i="7"/>
  <c r="AP52" i="7"/>
  <c r="AM56" i="7" s="1"/>
  <c r="I50" i="7" s="1"/>
  <c r="I52" i="7"/>
  <c r="U52" i="7"/>
  <c r="DV34" i="1"/>
  <c r="DV22" i="1" s="1"/>
  <c r="HB52" i="10"/>
  <c r="I52" i="10"/>
  <c r="HN52" i="10"/>
  <c r="GL52" i="10"/>
  <c r="HL52" i="10"/>
  <c r="GJ52" i="10"/>
  <c r="HF52" i="10"/>
  <c r="AP52" i="10"/>
  <c r="AM56" i="10" s="1"/>
  <c r="I50" i="10" s="1"/>
  <c r="K52" i="10"/>
  <c r="AR52" i="10"/>
  <c r="CP26" i="1"/>
  <c r="O26" i="1" s="1"/>
  <c r="DT34" i="1" s="1"/>
  <c r="K50" i="10"/>
  <c r="II14" i="6"/>
  <c r="IN80" i="7"/>
  <c r="FK14" i="6"/>
  <c r="IN14" i="6"/>
  <c r="FK80" i="7"/>
  <c r="I125" i="7" s="1"/>
  <c r="FL14" i="6"/>
  <c r="IR80" i="7"/>
  <c r="IR14" i="6"/>
  <c r="FL80" i="7"/>
  <c r="I126" i="7" s="1"/>
  <c r="I122" i="7"/>
  <c r="I109" i="7"/>
  <c r="EU14" i="6"/>
  <c r="EU80" i="7"/>
  <c r="I84" i="7" s="1"/>
  <c r="CX80" i="7"/>
  <c r="K84" i="7" s="1"/>
  <c r="CX14" i="6"/>
  <c r="EH64" i="1"/>
  <c r="P73" i="1" s="1"/>
  <c r="DM14" i="6"/>
  <c r="DM80" i="7"/>
  <c r="K121" i="7" s="1"/>
  <c r="F43" i="1"/>
  <c r="G16" i="2" s="1"/>
  <c r="G18" i="2" s="1"/>
  <c r="EL64" i="1"/>
  <c r="P82" i="1" s="1"/>
  <c r="DR80" i="7"/>
  <c r="K131" i="7" s="1"/>
  <c r="DR14" i="6"/>
  <c r="DC80" i="7"/>
  <c r="K110" i="7" s="1"/>
  <c r="DC14" i="6"/>
  <c r="AU22" i="1"/>
  <c r="AX34" i="1"/>
  <c r="F41" i="1" s="1"/>
  <c r="DL80" i="7"/>
  <c r="K120" i="7" s="1"/>
  <c r="DL14" i="6"/>
  <c r="P74" i="1"/>
  <c r="EH22" i="1"/>
  <c r="DI14" i="6"/>
  <c r="DS80" i="7"/>
  <c r="K132" i="7" s="1"/>
  <c r="DS14" i="6"/>
  <c r="DI80" i="7"/>
  <c r="K117" i="7" s="1"/>
  <c r="DG80" i="7"/>
  <c r="K115" i="7" s="1"/>
  <c r="DG14" i="6"/>
  <c r="K74" i="7"/>
  <c r="AR74" i="7"/>
  <c r="AM78" i="7"/>
  <c r="I72" i="7" s="1"/>
  <c r="GM28" i="1"/>
  <c r="HD28" i="1" s="1"/>
  <c r="GE34" i="1" s="1"/>
  <c r="GE22" i="1" s="1"/>
  <c r="H78" i="7"/>
  <c r="HA78" i="7"/>
  <c r="AP22" i="1"/>
  <c r="DM34" i="1"/>
  <c r="AR64" i="7"/>
  <c r="K64" i="7"/>
  <c r="GN28" i="1"/>
  <c r="AM70" i="7"/>
  <c r="I63" i="7" s="1"/>
  <c r="H70" i="7"/>
  <c r="HA70" i="7"/>
  <c r="K63" i="7"/>
  <c r="U67" i="7"/>
  <c r="K68" i="7"/>
  <c r="AR68" i="7"/>
  <c r="F53" i="1"/>
  <c r="H16" i="2" s="1"/>
  <c r="H18" i="2" s="1"/>
  <c r="ER34" i="1"/>
  <c r="P52" i="1"/>
  <c r="U16" i="2" s="1"/>
  <c r="U18" i="2" s="1"/>
  <c r="T34" i="1"/>
  <c r="T22" i="1" s="1"/>
  <c r="K58" i="7"/>
  <c r="EL22" i="1"/>
  <c r="HA61" i="7"/>
  <c r="H61" i="7"/>
  <c r="GM29" i="1"/>
  <c r="K54" i="7"/>
  <c r="AR54" i="7"/>
  <c r="GM26" i="1"/>
  <c r="U55" i="7"/>
  <c r="H56" i="7"/>
  <c r="HA56" i="7"/>
  <c r="AR52" i="7"/>
  <c r="K52" i="7"/>
  <c r="K50" i="7"/>
  <c r="R34" i="1"/>
  <c r="GN26" i="1"/>
  <c r="EM18" i="1"/>
  <c r="P83" i="1"/>
  <c r="DO22" i="1"/>
  <c r="P58" i="1"/>
  <c r="DO64" i="1"/>
  <c r="FZ22" i="1"/>
  <c r="EQ34" i="1"/>
  <c r="BC18" i="1"/>
  <c r="F80" i="1"/>
  <c r="ET18" i="1"/>
  <c r="P77" i="1"/>
  <c r="AZ22" i="1"/>
  <c r="F45" i="1"/>
  <c r="AZ64" i="1"/>
  <c r="GM27" i="1"/>
  <c r="HD27" i="1" s="1"/>
  <c r="CM34" i="1" s="1"/>
  <c r="GN27" i="1"/>
  <c r="CB34" i="1" s="1"/>
  <c r="EG18" i="1"/>
  <c r="P68" i="1"/>
  <c r="AB34" i="1"/>
  <c r="DH22" i="1"/>
  <c r="P37" i="1"/>
  <c r="DH64" i="1"/>
  <c r="AP18" i="1"/>
  <c r="F73" i="1"/>
  <c r="S22" i="1"/>
  <c r="F49" i="1"/>
  <c r="S64" i="1"/>
  <c r="U22" i="1"/>
  <c r="F56" i="1"/>
  <c r="U64" i="1"/>
  <c r="V22" i="1"/>
  <c r="F57" i="1"/>
  <c r="V64" i="1"/>
  <c r="AD22" i="1"/>
  <c r="Q34" i="1"/>
  <c r="EU18" i="1"/>
  <c r="P80" i="1"/>
  <c r="ES18" i="1"/>
  <c r="P84" i="1"/>
  <c r="FX22" i="1"/>
  <c r="EO34" i="1"/>
  <c r="ED34" i="1"/>
  <c r="DL18" i="1"/>
  <c r="P85" i="1"/>
  <c r="AK22" i="1"/>
  <c r="X34" i="1"/>
  <c r="AO18" i="1"/>
  <c r="F68" i="1"/>
  <c r="EP22" i="1"/>
  <c r="P41" i="1"/>
  <c r="EP64" i="1"/>
  <c r="DX22" i="1"/>
  <c r="DK34" i="1"/>
  <c r="W18" i="1"/>
  <c r="F88" i="1"/>
  <c r="AL22" i="1"/>
  <c r="Y34" i="1"/>
  <c r="DN22" i="1"/>
  <c r="DN64" i="1"/>
  <c r="P57" i="1"/>
  <c r="AC22" i="1"/>
  <c r="P34" i="1"/>
  <c r="CE34" i="1"/>
  <c r="CH34" i="1"/>
  <c r="CF34" i="1"/>
  <c r="GN30" i="1"/>
  <c r="GM30" i="1"/>
  <c r="BA18" i="1"/>
  <c r="F84" i="1"/>
  <c r="FW22" i="1"/>
  <c r="EN34" i="1"/>
  <c r="AU18" i="1"/>
  <c r="F83" i="1"/>
  <c r="AQ18" i="1"/>
  <c r="F74" i="1"/>
  <c r="DW22" i="1"/>
  <c r="DJ34" i="1"/>
  <c r="DH80" i="10" l="1"/>
  <c r="K116" i="10" s="1"/>
  <c r="DH14" i="9"/>
  <c r="DE14" i="9"/>
  <c r="DE80" i="10"/>
  <c r="K113" i="10" s="1"/>
  <c r="DK80" i="10"/>
  <c r="K119" i="10" s="1"/>
  <c r="DK14" i="9"/>
  <c r="DF80" i="10"/>
  <c r="K114" i="10" s="1"/>
  <c r="DF14" i="9"/>
  <c r="EX14" i="6"/>
  <c r="K76" i="7"/>
  <c r="AR76" i="7"/>
  <c r="AO78" i="7" s="1"/>
  <c r="IH14" i="6"/>
  <c r="K75" i="10"/>
  <c r="AR75" i="10"/>
  <c r="S78" i="7"/>
  <c r="J78" i="7" s="1"/>
  <c r="K76" i="10"/>
  <c r="AR76" i="10"/>
  <c r="FN14" i="6"/>
  <c r="GB80" i="7"/>
  <c r="EX80" i="7"/>
  <c r="I107" i="7" s="1"/>
  <c r="EV80" i="7"/>
  <c r="I86" i="7" s="1"/>
  <c r="GB14" i="6"/>
  <c r="K68" i="10"/>
  <c r="AR68" i="10"/>
  <c r="S70" i="10"/>
  <c r="J70" i="10" s="1"/>
  <c r="AO70" i="10"/>
  <c r="I38" i="7"/>
  <c r="I88" i="7"/>
  <c r="DP34" i="1"/>
  <c r="DN80" i="7" s="1"/>
  <c r="EV34" i="1"/>
  <c r="EV22" i="1" s="1"/>
  <c r="K54" i="10"/>
  <c r="AR54" i="10"/>
  <c r="AO56" i="10" s="1"/>
  <c r="S56" i="10"/>
  <c r="J56" i="10" s="1"/>
  <c r="DI34" i="1"/>
  <c r="P46" i="1" s="1"/>
  <c r="DG34" i="1"/>
  <c r="DT22" i="1"/>
  <c r="FT34" i="1"/>
  <c r="EK34" i="1" s="1"/>
  <c r="AX64" i="1"/>
  <c r="AX22" i="1"/>
  <c r="FM80" i="7"/>
  <c r="FM14" i="6"/>
  <c r="I130" i="7"/>
  <c r="FR80" i="7"/>
  <c r="I135" i="7" s="1"/>
  <c r="I137" i="7" s="1"/>
  <c r="I138" i="7" s="1"/>
  <c r="I140" i="7" s="1"/>
  <c r="I37" i="7" s="1"/>
  <c r="FR14" i="6"/>
  <c r="DH80" i="7"/>
  <c r="K116" i="7" s="1"/>
  <c r="DH14" i="6"/>
  <c r="EH18" i="1"/>
  <c r="EL18" i="1"/>
  <c r="CW14" i="6"/>
  <c r="ET14" i="6"/>
  <c r="ET80" i="7"/>
  <c r="CW80" i="7"/>
  <c r="DF80" i="7"/>
  <c r="K114" i="7" s="1"/>
  <c r="DF14" i="6"/>
  <c r="DB80" i="7"/>
  <c r="K109" i="7" s="1"/>
  <c r="DB14" i="6"/>
  <c r="DE14" i="6"/>
  <c r="DE80" i="7"/>
  <c r="K113" i="7" s="1"/>
  <c r="CZ80" i="7"/>
  <c r="CZ14" i="6"/>
  <c r="ER22" i="1"/>
  <c r="DK80" i="7"/>
  <c r="K119" i="7" s="1"/>
  <c r="DK14" i="6"/>
  <c r="P45" i="1"/>
  <c r="F55" i="1"/>
  <c r="T64" i="1"/>
  <c r="T18" i="1" s="1"/>
  <c r="ER64" i="1"/>
  <c r="P56" i="1"/>
  <c r="DM64" i="1"/>
  <c r="DM22" i="1"/>
  <c r="AR67" i="7"/>
  <c r="AO70" i="7" s="1"/>
  <c r="K67" i="7"/>
  <c r="S70" i="7"/>
  <c r="J70" i="7" s="1"/>
  <c r="CA34" i="1"/>
  <c r="CA22" i="1" s="1"/>
  <c r="FS34" i="1"/>
  <c r="EJ34" i="1" s="1"/>
  <c r="K55" i="7"/>
  <c r="AR55" i="7"/>
  <c r="AO56" i="7" s="1"/>
  <c r="S56" i="7"/>
  <c r="F48" i="1"/>
  <c r="J16" i="2" s="1"/>
  <c r="J18" i="2" s="1"/>
  <c r="R64" i="1"/>
  <c r="R22" i="1"/>
  <c r="CH22" i="1"/>
  <c r="AY34" i="1"/>
  <c r="CB22" i="1"/>
  <c r="AS34" i="1"/>
  <c r="P22" i="1"/>
  <c r="P64" i="1"/>
  <c r="F37" i="1"/>
  <c r="U18" i="1"/>
  <c r="F86" i="1"/>
  <c r="AB22" i="1"/>
  <c r="O34" i="1"/>
  <c r="CM22" i="1"/>
  <c r="BD34" i="1"/>
  <c r="X22" i="1"/>
  <c r="F60" i="1"/>
  <c r="X64" i="1"/>
  <c r="EO22" i="1"/>
  <c r="P40" i="1"/>
  <c r="EO64" i="1"/>
  <c r="DJ22" i="1"/>
  <c r="P48" i="1"/>
  <c r="DJ64" i="1"/>
  <c r="CF22" i="1"/>
  <c r="AW34" i="1"/>
  <c r="Y22" i="1"/>
  <c r="F61" i="1"/>
  <c r="Y64" i="1"/>
  <c r="EP18" i="1"/>
  <c r="P71" i="1"/>
  <c r="ED22" i="1"/>
  <c r="DQ34" i="1"/>
  <c r="Q22" i="1"/>
  <c r="F46" i="1"/>
  <c r="Q64" i="1"/>
  <c r="V18" i="1"/>
  <c r="F87" i="1"/>
  <c r="DH18" i="1"/>
  <c r="P67" i="1"/>
  <c r="AZ18" i="1"/>
  <c r="F75" i="1"/>
  <c r="EN22" i="1"/>
  <c r="EN64" i="1"/>
  <c r="P39" i="1"/>
  <c r="CE22" i="1"/>
  <c r="AV34" i="1"/>
  <c r="DN18" i="1"/>
  <c r="P87" i="1"/>
  <c r="P60" i="1"/>
  <c r="DK22" i="1"/>
  <c r="P49" i="1"/>
  <c r="DK64" i="1"/>
  <c r="S18" i="1"/>
  <c r="F79" i="1"/>
  <c r="EQ22" i="1"/>
  <c r="P42" i="1"/>
  <c r="EQ64" i="1"/>
  <c r="DO18" i="1"/>
  <c r="P88" i="1"/>
  <c r="DP80" i="10" l="1"/>
  <c r="DP14" i="9"/>
  <c r="CY80" i="7"/>
  <c r="K86" i="7" s="1"/>
  <c r="CY80" i="10"/>
  <c r="K86" i="10" s="1"/>
  <c r="CY14" i="9"/>
  <c r="DU14" i="9"/>
  <c r="DQ14" i="9"/>
  <c r="DQ80" i="10"/>
  <c r="DU80" i="10"/>
  <c r="K137" i="10" s="1"/>
  <c r="K140" i="10" s="1"/>
  <c r="AO78" i="10"/>
  <c r="DG64" i="1"/>
  <c r="P66" i="1" s="1"/>
  <c r="DP64" i="1"/>
  <c r="DP18" i="1" s="1"/>
  <c r="DP22" i="1"/>
  <c r="DN14" i="6"/>
  <c r="F85" i="1"/>
  <c r="P36" i="1"/>
  <c r="DG22" i="1"/>
  <c r="CY14" i="6"/>
  <c r="P59" i="1"/>
  <c r="EV64" i="1"/>
  <c r="DZ14" i="6"/>
  <c r="DZ80" i="7"/>
  <c r="DA80" i="7"/>
  <c r="DA14" i="6"/>
  <c r="DI22" i="1"/>
  <c r="DI64" i="1"/>
  <c r="FT22" i="1"/>
  <c r="AX18" i="1"/>
  <c r="F71" i="1"/>
  <c r="J56" i="7"/>
  <c r="Q80" i="7"/>
  <c r="I128" i="7"/>
  <c r="I80" i="7"/>
  <c r="DP80" i="7"/>
  <c r="DP14" i="6"/>
  <c r="K122" i="7"/>
  <c r="K88" i="7"/>
  <c r="J38" i="7"/>
  <c r="K83" i="7"/>
  <c r="J39" i="7"/>
  <c r="DO80" i="7"/>
  <c r="DO14" i="6"/>
  <c r="DU14" i="6"/>
  <c r="DQ14" i="6"/>
  <c r="DQ80" i="7"/>
  <c r="DU80" i="7"/>
  <c r="K137" i="7" s="1"/>
  <c r="K140" i="7" s="1"/>
  <c r="I83" i="7"/>
  <c r="I39" i="7"/>
  <c r="P75" i="1"/>
  <c r="ER18" i="1"/>
  <c r="P86" i="1"/>
  <c r="DM18" i="1"/>
  <c r="AR34" i="1"/>
  <c r="IK8" i="1" s="1"/>
  <c r="FS22" i="1"/>
  <c r="R18" i="1"/>
  <c r="F78" i="1"/>
  <c r="Y16" i="2"/>
  <c r="Y18" i="2" s="1"/>
  <c r="DK18" i="1"/>
  <c r="P79" i="1"/>
  <c r="AV22" i="1"/>
  <c r="F39" i="1"/>
  <c r="AV64" i="1"/>
  <c r="EV18" i="1"/>
  <c r="P89" i="1"/>
  <c r="AW22" i="1"/>
  <c r="F40" i="1"/>
  <c r="AW64" i="1"/>
  <c r="X18" i="1"/>
  <c r="F90" i="1"/>
  <c r="EQ18" i="1"/>
  <c r="P72" i="1"/>
  <c r="DQ22" i="1"/>
  <c r="P61" i="1"/>
  <c r="DQ64" i="1"/>
  <c r="Y18" i="1"/>
  <c r="F91" i="1"/>
  <c r="EO18" i="1"/>
  <c r="P70" i="1"/>
  <c r="BD22" i="1"/>
  <c r="F59" i="1"/>
  <c r="BD64" i="1"/>
  <c r="EK22" i="1"/>
  <c r="EK64" i="1"/>
  <c r="P51" i="1"/>
  <c r="T16" i="2" s="1"/>
  <c r="AY22" i="1"/>
  <c r="F42" i="1"/>
  <c r="AY64" i="1"/>
  <c r="EJ22" i="1"/>
  <c r="EJ64" i="1"/>
  <c r="P62" i="1"/>
  <c r="Q18" i="1"/>
  <c r="F76" i="1"/>
  <c r="DJ18" i="1"/>
  <c r="P78" i="1"/>
  <c r="EN18" i="1"/>
  <c r="P69" i="1"/>
  <c r="O22" i="1"/>
  <c r="F36" i="1"/>
  <c r="O64" i="1"/>
  <c r="P18" i="1"/>
  <c r="F67" i="1"/>
  <c r="AS22" i="1"/>
  <c r="F51" i="1"/>
  <c r="E16" i="2" s="1"/>
  <c r="AS64" i="1"/>
  <c r="DG18" i="1" l="1"/>
  <c r="E26" i="10"/>
  <c r="J37" i="10"/>
  <c r="K141" i="10"/>
  <c r="K142" i="10" s="1"/>
  <c r="K80" i="10"/>
  <c r="P90" i="1"/>
  <c r="DI18" i="1"/>
  <c r="P76" i="1"/>
  <c r="AR64" i="1"/>
  <c r="AR18" i="1" s="1"/>
  <c r="J37" i="7"/>
  <c r="K141" i="7"/>
  <c r="K142" i="7" s="1"/>
  <c r="E26" i="7"/>
  <c r="K80" i="7"/>
  <c r="F62" i="1"/>
  <c r="AR22" i="1"/>
  <c r="O18" i="1"/>
  <c r="F66" i="1"/>
  <c r="EJ18" i="1"/>
  <c r="P92" i="1"/>
  <c r="BD18" i="1"/>
  <c r="F89" i="1"/>
  <c r="AS18" i="1"/>
  <c r="F81" i="1"/>
  <c r="T18" i="2"/>
  <c r="X16" i="2"/>
  <c r="X18" i="2" s="1"/>
  <c r="AW18" i="1"/>
  <c r="F70" i="1"/>
  <c r="E18" i="2"/>
  <c r="I16" i="2"/>
  <c r="I18" i="2" s="1"/>
  <c r="AY18" i="1"/>
  <c r="F72" i="1"/>
  <c r="EK18" i="1"/>
  <c r="P81" i="1"/>
  <c r="AV18" i="1"/>
  <c r="F69" i="1"/>
  <c r="DQ18" i="1"/>
  <c r="P91" i="1"/>
  <c r="F92" i="1" l="1"/>
</calcChain>
</file>

<file path=xl/comments1.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5.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6.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7.xml><?xml version="1.0" encoding="utf-8"?>
<comments xmlns="http://schemas.openxmlformats.org/spreadsheetml/2006/main">
  <authors>
    <author>Мамаева Екатерина Магомедовна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8.xml><?xml version="1.0" encoding="utf-8"?>
<comments xmlns="http://schemas.openxmlformats.org/spreadsheetml/2006/main">
  <authors>
    <author>Мамаева Екатерина Магомедовна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sharedStrings.xml><?xml version="1.0" encoding="utf-8"?>
<sst xmlns="http://schemas.openxmlformats.org/spreadsheetml/2006/main" count="2974" uniqueCount="879">
  <si>
    <t>Smeta.RU  (495) 974-1589</t>
  </si>
  <si>
    <t>_PS_</t>
  </si>
  <si>
    <t>Smeta.RU</t>
  </si>
  <si>
    <t>ПАО "Специализированный застройщик "Орелстрой"  Доп. раб. место  FStS-0025077</t>
  </si>
  <si>
    <t>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t>
  </si>
  <si>
    <t>5.1.1.1 Устройство котлована</t>
  </si>
  <si>
    <t/>
  </si>
  <si>
    <t>Кузнецова У. И.</t>
  </si>
  <si>
    <t>Сметные нормы списания</t>
  </si>
  <si>
    <t>Коды ценников</t>
  </si>
  <si>
    <t>Версия 11.0.0.6 от 03.02.2020 г. Типовой расчет (НОВОЕ СТРОИТЕЛЬСТВО или РЕКОНСТРУКЦИЯ) © ООО НТЦ «АиВТ» г.Орел [Комплекс из 2-х многоквартирных домов на земельном участке 13 по ул.Емлютина в д.Образцово, Образцовского с/п Орловского района. 1-й эта~</t>
  </si>
  <si>
    <t>ТСНБ ТЕР-2001 Орловской области (редакция 2014 г. от 2014.10.06)</t>
  </si>
  <si>
    <t>ТСНБ ТЕР-2001 Орловской области (редакция 2014 г. от 2014.10.06) + прайс-листы ПАО "Орелстрой" 2023.01</t>
  </si>
  <si>
    <t>Поправки для базы 2001 года (ред. 2014 года) от 2021.11.17 v56 (ПАО "Орелстрой")</t>
  </si>
  <si>
    <t>5.1.1.1</t>
  </si>
  <si>
    <t>Устройство котлована</t>
  </si>
  <si>
    <t>Удаление насыпного грунта и срезка растительного грунта смотри ЛСР № 4.1.3.1; №4.1.3.2</t>
  </si>
  <si>
    <t>1</t>
  </si>
  <si>
    <t>01-01-021-2</t>
  </si>
  <si>
    <t>Разработка грунта в котлованах экскаватором с ковшом вместимостью 1,0 м3, группа грунтов 2( без учета объема растительного и насыпного грунта)</t>
  </si>
  <si>
    <t>1000 м3 грунта</t>
  </si>
  <si>
    <t>01-01-021-2 ТЕР-57 (ред.2014)</t>
  </si>
  <si>
    <t>Общестроительные и специальные строительные работы</t>
  </si>
  <si>
    <t>Земляные работы, выполняемые  механизированным способом</t>
  </si>
  <si>
    <t>ФЕР-01</t>
  </si>
  <si>
    <t>2</t>
  </si>
  <si>
    <t>т03-21-001-1</t>
  </si>
  <si>
    <t>Перевозка грузов I класса автомобилями-самосвалами грузоподъемностью 10 т работающих вне карьера на расстояние до 1 км</t>
  </si>
  <si>
    <t>1 Т ГРУЗА</t>
  </si>
  <si>
    <t>т03-21-001-1 ТССЦпг-57 (ред.2014)</t>
  </si>
  <si>
    <t>Перевозка грузов. Автомобильным транспортом</t>
  </si>
  <si>
    <t>Перевозка грузов. Автомобильные перевозки  (2009-2014 г.г., раздел 3-4)</t>
  </si>
  <si>
    <t>перевозки_ФССЦ (2009 - 2014) а/п и тракт.</t>
  </si>
  <si>
    <t>3</t>
  </si>
  <si>
    <t>01-01-016-2</t>
  </si>
  <si>
    <t>Работа на отвале, группа грунтов 2-3</t>
  </si>
  <si>
    <t>01-01-016-2 ТЕР-57 (ред.2014)</t>
  </si>
  <si>
    <t>4</t>
  </si>
  <si>
    <t>01-02-057-2</t>
  </si>
  <si>
    <t>Разработка грунта вручную в траншеях глубиной до 2 м без креплений с откосами, группа грунтов 2</t>
  </si>
  <si>
    <t>100 м3 грунта</t>
  </si>
  <si>
    <t>01-02-057-2 ТЕР-57 (ред.2014)</t>
  </si>
  <si>
    <t>Поправка: Прил. 1.12, п.3.187.  Наименование: Доработка вручную, зачистка дна и стенок с выкидкой грунта в котлованах и траншеях, разработанных механизированным способом</t>
  </si>
  <si>
    <t>)*1,2</t>
  </si>
  <si>
    <t>Земляные работы, выполняемые  ручным способом</t>
  </si>
  <si>
    <t>Поправка: Прил. 1.12, п.3.187.</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</si>
  <si>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</si>
  <si>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</si>
  <si>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</si>
  <si>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</si>
  <si>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</si>
  <si>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</si>
  <si>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</si>
  <si>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</si>
  <si>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</si>
  <si>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</si>
  <si>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</si>
  <si>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</si>
  <si>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</si>
  <si>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</si>
  <si>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</si>
  <si>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</si>
  <si>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</si>
  <si>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</si>
  <si>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</si>
  <si>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</si>
  <si>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</si>
  <si>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</si>
  <si>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</si>
  <si>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</si>
  <si>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</si>
  <si>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</si>
  <si>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</si>
  <si>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</si>
  <si>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</si>
  <si>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</si>
  <si>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</si>
  <si>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</si>
  <si>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</si>
  <si>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</si>
  <si>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</si>
  <si>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</si>
  <si>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</si>
  <si>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</si>
  <si>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</si>
  <si>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</si>
  <si>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</si>
  <si>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</si>
  <si>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</si>
  <si>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</si>
  <si>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</si>
  <si>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</si>
  <si>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</si>
  <si>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</si>
  <si>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</si>
  <si>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</si>
  <si>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</si>
  <si>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</si>
  <si>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</si>
  <si>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</si>
  <si>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</si>
  <si>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</si>
  <si>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</si>
  <si>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</si>
  <si>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</si>
  <si>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</si>
  <si>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</si>
  <si>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</si>
  <si>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</si>
  <si>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</si>
  <si>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</si>
  <si>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</si>
  <si>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</si>
  <si>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</si>
  <si>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</si>
  <si>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</si>
  <si>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</si>
  <si>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</si>
  <si>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</si>
  <si>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</si>
  <si>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</si>
  <si>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</si>
  <si>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</si>
  <si>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</si>
  <si>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</si>
  <si>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</si>
  <si>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</si>
  <si>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</si>
  <si>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</si>
  <si>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</si>
  <si>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</si>
  <si>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</si>
  <si>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</si>
  <si>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</si>
  <si>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</si>
  <si>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</si>
  <si>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</si>
  <si>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</si>
  <si>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</si>
  <si>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</si>
  <si>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</si>
  <si>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</si>
  <si>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</si>
  <si>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</si>
  <si>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</si>
  <si>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</si>
  <si>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</si>
  <si>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</si>
  <si>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</si>
  <si>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</si>
  <si>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</si>
  <si>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</si>
  <si>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</si>
  <si>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</si>
  <si>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</si>
  <si>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</si>
  <si>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</si>
  <si>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</si>
  <si>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</si>
  <si>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</si>
  <si>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</si>
  <si>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</si>
  <si>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</si>
  <si>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</si>
  <si>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</si>
  <si>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</si>
  <si>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</si>
  <si>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</si>
  <si>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</si>
  <si>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2023 г.</t>
  </si>
  <si>
    <t>Сборник индексов</t>
  </si>
  <si>
    <t>ПАО "Орелстрой" (новое строительство)</t>
  </si>
  <si>
    <t>_OBSM_</t>
  </si>
  <si>
    <t>Затраты труда машинистов</t>
  </si>
  <si>
    <t>чел.час</t>
  </si>
  <si>
    <t>060249</t>
  </si>
  <si>
    <t>060249 ТСЭМ-57 (ред.2014)</t>
  </si>
  <si>
    <t>Экскаваторы одноковшовые дизельные на гусеничном ходу при работе на других видах строительства 1 м3</t>
  </si>
  <si>
    <t>маш.-ч</t>
  </si>
  <si>
    <t>400052</t>
  </si>
  <si>
    <t>400052 ТСЭМ-57 (ред.2014)</t>
  </si>
  <si>
    <t>Автомобиль-самосвал, грузоподъемность до 10 т</t>
  </si>
  <si>
    <t>1-1020-2014-57</t>
  </si>
  <si>
    <t>Рабочий строитель среднего разряда 2</t>
  </si>
  <si>
    <t>чел.-ч</t>
  </si>
  <si>
    <t>070149</t>
  </si>
  <si>
    <t>070149 ТСЭМ-57 (ред.2014)</t>
  </si>
  <si>
    <t>Бульдозеры при работе на других видах строительства 79 кВт (108 л.с.)</t>
  </si>
  <si>
    <t>400051</t>
  </si>
  <si>
    <t>400051 ТСЭМ-57 (ред.2014)</t>
  </si>
  <si>
    <t>Автомобиль-самосвал, грузоподъемность до 7 т</t>
  </si>
  <si>
    <t>408-0015</t>
  </si>
  <si>
    <t>408-0015 ТССЦ-57 (изд.2014)</t>
  </si>
  <si>
    <t>Щебень из природного камня для строительных работ марка 800, фракция 20-40 мм</t>
  </si>
  <si>
    <t>м3</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</si>
  <si>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</si>
  <si>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</si>
  <si>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</si>
  <si>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</si>
  <si>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</si>
  <si>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</si>
  <si>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</si>
  <si>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</si>
  <si>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</si>
  <si>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</si>
  <si>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</si>
  <si>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</si>
  <si>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3200,7/1000 = 3,2007</t>
  </si>
  <si>
    <t>2240,49*1,75+960,21*1,65 = 5505,204</t>
  </si>
  <si>
    <t>144,21/100 = 1,4421</t>
  </si>
  <si>
    <t>- номер последнего сформированного листа</t>
  </si>
  <si>
    <t>Наименование программного продукта: "Мастер сметных расчетов" v11.5,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</si>
  <si>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</si>
  <si>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</si>
  <si>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</si>
  <si>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</si>
  <si>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</si>
  <si>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</si>
  <si>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</si>
  <si>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</si>
  <si>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</si>
  <si>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</si>
  <si>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</si>
  <si>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</si>
  <si>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</si>
  <si>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</si>
  <si>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5.1.1.1 Устройство котлована</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</si>
  <si>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</si>
  <si>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</si>
  <si>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</si>
  <si>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</si>
  <si>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</si>
  <si>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</si>
  <si>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</si>
  <si>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</si>
  <si>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</si>
  <si>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</si>
  <si>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</si>
  <si>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</si>
  <si>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2023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</si>
  <si>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</si>
  <si>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</si>
  <si>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</si>
  <si>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</si>
  <si>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5.1.1.1 Устройство котлована </t>
  </si>
  <si>
    <t>ЛОКАЛЬНАЯ СМЕТА № 5.1.1.1</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</si>
  <si>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</si>
  <si>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</si>
  <si>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</si>
  <si>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</si>
  <si>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</si>
  <si>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</si>
  <si>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</si>
  <si>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</si>
  <si>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2023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</si>
  <si>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</si>
  <si>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</si>
  <si>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</si>
  <si>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</si>
  <si>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</si>
  <si>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</si>
  <si>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</si>
  <si>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</si>
  <si>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</si>
  <si>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</si>
  <si>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 кв. 2023 г., руб.</t>
  </si>
  <si>
    <t xml:space="preserve">Локальная смета: </t>
  </si>
  <si>
    <t xml:space="preserve"> 5.1.1.1</t>
  </si>
  <si>
    <t xml:space="preserve"> Устройство котлована</t>
  </si>
  <si>
    <t xml:space="preserve">   ЭММ</t>
  </si>
  <si>
    <t xml:space="preserve">   в т.ч. ЗПМ</t>
  </si>
  <si>
    <t xml:space="preserve">   НР от ФОТ</t>
  </si>
  <si>
    <t>%</t>
  </si>
  <si>
    <t xml:space="preserve">   СП от ФОТ</t>
  </si>
  <si>
    <t xml:space="preserve">   Всего по позиции</t>
  </si>
  <si>
    <t xml:space="preserve">   ОЗП</t>
  </si>
  <si>
    <t xml:space="preserve">   Затраты труда рабочих</t>
  </si>
  <si>
    <t>чел-ч</t>
  </si>
  <si>
    <r>
      <t>Разработка грунта вручную в траншеях глубиной до 2 м без креплений с откосами, группа грунтов 2</t>
    </r>
    <r>
      <rPr>
        <sz val="8"/>
        <color rgb="FF0000FF"/>
        <rFont val="Arial"/>
        <family val="2"/>
        <charset val="204"/>
      </rPr>
      <t xml:space="preserve">  (Поправка: Прил. 1.12, п.3.187.) </t>
    </r>
  </si>
  <si>
    <t>*1,2</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</si>
  <si>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</si>
  <si>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</si>
  <si>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</si>
  <si>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</si>
  <si>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Трудозатраты рабочих</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</si>
  <si>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</si>
  <si>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</si>
  <si>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</si>
  <si>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</si>
  <si>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</si>
  <si>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</si>
  <si>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</si>
  <si>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</si>
  <si>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</si>
  <si>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</si>
  <si>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</si>
  <si>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</si>
  <si>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</si>
  <si>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</si>
  <si>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</si>
  <si>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</si>
  <si>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</si>
  <si>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</si>
  <si>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</si>
  <si>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</si>
  <si>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</si>
  <si>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</si>
  <si>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</si>
  <si>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Стоимость материальных ресурсов</t>
  </si>
  <si>
    <t>Стоимость материальных ресурсов Заказчика</t>
  </si>
  <si>
    <t>Стоимость материальных ресурсов Подрядчика</t>
  </si>
  <si>
    <t>Стоимость оборудования</t>
  </si>
  <si>
    <t>Стоимость оборудования Заказчика</t>
  </si>
  <si>
    <t>Стоимость оборудования Подрядчика</t>
  </si>
  <si>
    <t>ФОТ (справочно)</t>
  </si>
  <si>
    <t>Накладные расходы (НР)</t>
  </si>
  <si>
    <t>Сметная прибыль (СП)</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</si>
  <si>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</si>
  <si>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</si>
  <si>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</si>
  <si>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</si>
  <si>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</si>
  <si>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</si>
  <si>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</si>
  <si>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</si>
  <si>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</si>
  <si>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Всего:</t>
  </si>
  <si>
    <t>НДС</t>
  </si>
  <si>
    <t>Всего с НДС</t>
  </si>
  <si>
    <t>Сдал:</t>
  </si>
  <si>
    <t>[должность] / [подпись]</t>
  </si>
  <si>
    <t>[расшифровка подписи]</t>
  </si>
  <si>
    <t>М.П.</t>
  </si>
  <si>
    <t>Принял:</t>
  </si>
  <si>
    <t>Исполнил:</t>
  </si>
  <si>
    <t>Проверил:</t>
  </si>
  <si>
    <t>Руководитель  сметно-расчетной службы ООО "ОДСК"</t>
  </si>
  <si>
    <t>Артамонова Ю.А.</t>
  </si>
  <si>
    <t>Руководитель ПТС ООО "ОСУ-2"</t>
  </si>
  <si>
    <t>Когтев В.И.</t>
  </si>
  <si>
    <t>Конец</t>
  </si>
  <si>
    <t>SourceOb.2</t>
  </si>
  <si>
    <t>Параметры2.xls</t>
  </si>
  <si>
    <t>Руководитель сметно-расчетной службы ООО "ОДСК"</t>
  </si>
  <si>
    <t>Руководитель ПТО ООО "ОСУ-2"</t>
  </si>
  <si>
    <t>Когтев В. И.</t>
  </si>
  <si>
    <t>- уровень цен, использованный последний раз (1 - базовый / 2 - текущий)</t>
  </si>
  <si>
    <t>РАСЧЕТ СТОИМОСТИ</t>
  </si>
  <si>
    <t>материалов</t>
  </si>
  <si>
    <t>Стройка</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</si>
  <si>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</si>
  <si>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</si>
  <si>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</si>
  <si>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</si>
  <si>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</si>
  <si>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</si>
  <si>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</si>
  <si>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</si>
  <si>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</si>
  <si>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</si>
  <si>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</si>
  <si>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</si>
  <si>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</si>
  <si>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</si>
  <si>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</si>
  <si>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</si>
  <si>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</si>
  <si>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</si>
  <si>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</si>
  <si>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Не найдено ни одного ресурса выбранного типа.</t>
  </si>
  <si>
    <t>оборудования</t>
  </si>
  <si>
    <t>РЕСУРСНЫЙ РАСЧЕТ</t>
  </si>
  <si>
    <t>Составлено в уровне цен : 01.01.2000 г.</t>
  </si>
  <si>
    <t>ресурсов</t>
  </si>
  <si>
    <t>Трудовые ресурсы</t>
  </si>
  <si>
    <t>Базовая цена = 0 (не задана)</t>
  </si>
  <si>
    <t>Без НДС</t>
  </si>
  <si>
    <t>Сметная цена в Базовом уровне (соответствует СНБ) = 7.87</t>
  </si>
  <si>
    <t>Машины</t>
  </si>
  <si>
    <t>Сметная цена в Базовом уровне (соответствует СНБ) = 122</t>
  </si>
  <si>
    <t>Сметная цена в Базовом уровне (соответствует СНБ) = 114.93</t>
  </si>
  <si>
    <t>Сметная цена в Базовом уровне (соответствует СНБ) = 88.79</t>
  </si>
  <si>
    <t>Сметная цена в Базовом уровне (соответствует СНБ) = 115.67</t>
  </si>
  <si>
    <t>В том числе:</t>
  </si>
  <si>
    <t>Материальные ресурсы</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</si>
  <si>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</si>
  <si>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</si>
  <si>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</si>
  <si>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</si>
  <si>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</si>
  <si>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</si>
  <si>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</si>
  <si>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</si>
  <si>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</si>
  <si>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</si>
  <si>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</si>
  <si>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</si>
  <si>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</si>
  <si>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</si>
  <si>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</si>
  <si>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</si>
  <si>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котлована</t>
  </si>
  <si>
    <t>14-22-ОДСК-АС1</t>
  </si>
  <si>
    <t xml:space="preserve"> Главный инженер сметчик сметно-расчетной службы ООО "ОДСК"</t>
  </si>
  <si>
    <t>УДТВЕРЖДАЮ</t>
  </si>
  <si>
    <t xml:space="preserve">Директор ООО "ОСУ-2" </t>
  </si>
  <si>
    <t xml:space="preserve">ТЕХНИЧЕСКОЕ ЗАДАНИЕ </t>
  </si>
  <si>
    <t>Вид работ: СМР</t>
  </si>
  <si>
    <t>ООО "______________________________" готово выполнить полный комплекс работ на нижеследующих условиях:</t>
  </si>
  <si>
    <t>ИНН   ______________________________</t>
  </si>
  <si>
    <t>№ 
п/п</t>
  </si>
  <si>
    <t>Ед изм.</t>
  </si>
  <si>
    <t>Кол-во</t>
  </si>
  <si>
    <t>Стоимость руб. с НДС.</t>
  </si>
  <si>
    <t>Итого руб. с НДС</t>
  </si>
  <si>
    <t>м2</t>
  </si>
  <si>
    <t>411-0001</t>
  </si>
  <si>
    <t>Вода</t>
  </si>
  <si>
    <t>т</t>
  </si>
  <si>
    <t>Гвозди строительные</t>
  </si>
  <si>
    <t>ЩИТ-2</t>
  </si>
  <si>
    <t>Щиты опалубки</t>
  </si>
  <si>
    <t>кг</t>
  </si>
  <si>
    <t>Приложение №1</t>
  </si>
  <si>
    <t>Виды работ:</t>
  </si>
  <si>
    <t>100 М ПЛИНТУСА</t>
  </si>
  <si>
    <t>10 м2</t>
  </si>
  <si>
    <t>100 м2 покрытия</t>
  </si>
  <si>
    <t xml:space="preserve"> 6.1.2 Устройство озеленения </t>
  </si>
  <si>
    <t>шт.</t>
  </si>
  <si>
    <t>101-0782</t>
  </si>
  <si>
    <t>Поковки из квадратных заготовок, масса 1,8 кг</t>
  </si>
  <si>
    <t>БРЛ-2.121</t>
  </si>
  <si>
    <t>Бетон тяжелый на гранитном щебне   B25 W4 F200 М350 В4 Ф200  (в летнее время)</t>
  </si>
  <si>
    <t>FENSYS</t>
  </si>
  <si>
    <t>ШТ</t>
  </si>
  <si>
    <t>Пластиковая заглушка 60х60 (Цвет: Черный RAL 9005)</t>
  </si>
  <si>
    <t>БРЛ-1.15</t>
  </si>
  <si>
    <t>Бетон тяжелый на известняковом щебне   B15 М200  (в летнее время)</t>
  </si>
  <si>
    <t>101-1805</t>
  </si>
  <si>
    <t>410-0006</t>
  </si>
  <si>
    <t>Асфальтобетонные смеси дорожные, аэродромные и асфальтобетон (горячие и теплые для плотного асфальтобетона мелко и крупнозернистые, песчаные), марка II, тип Б</t>
  </si>
  <si>
    <t>БРЛ-2.47</t>
  </si>
  <si>
    <t>Бетон тяжелый на гранитном щебне   B15 F150 М200 Ф150  (в летнее время)</t>
  </si>
  <si>
    <t>101-1561</t>
  </si>
  <si>
    <t>Битумы нефтяные дорожные жидкие, класс МГ, СГ</t>
  </si>
  <si>
    <t>ПТБ-5</t>
  </si>
  <si>
    <t>Бордюр дорожный БР 100.30.15</t>
  </si>
  <si>
    <t>102-0025</t>
  </si>
  <si>
    <t>Бруски обрезные хвойных пород длиной 4-6,5 м, шириной 75-150 мм, толщиной 40-75 мм, III сорта</t>
  </si>
  <si>
    <t>102-0038</t>
  </si>
  <si>
    <t>Брусья необрезные хвойных пород длиной 4-6,5 м, все ширины, толщиной 100, 125 мм, IV сорта</t>
  </si>
  <si>
    <t>БРЛ-4.9</t>
  </si>
  <si>
    <t>Раствор цементный   B7,5 М100  (в летнее время)</t>
  </si>
  <si>
    <t>101-1682</t>
  </si>
  <si>
    <t>Шнур полиамидный крученый, диаметром 2 мм</t>
  </si>
  <si>
    <t>113-0245</t>
  </si>
  <si>
    <t>101-4309</t>
  </si>
  <si>
    <t>101-4313</t>
  </si>
  <si>
    <t>101-0456</t>
  </si>
  <si>
    <t>410-0008</t>
  </si>
  <si>
    <t>Асфальтобетонные смеси дорожные, аэродромные и асфальтобетон (горячие и теплые для плотного асфальтобетона мелко и крупнозернистые, песчаные), марка II, тип Г</t>
  </si>
  <si>
    <t>ЖБИ-8.3</t>
  </si>
  <si>
    <t>Бортовые камни ГОСТ  6665-82    БР 100.20.8</t>
  </si>
  <si>
    <t>101-1659</t>
  </si>
  <si>
    <t>Диск алмазный для твердых материалов, диаметр 350 мм</t>
  </si>
  <si>
    <t>БРЛ-7.7</t>
  </si>
  <si>
    <t>Сухие смеси   B7,5 F25-50 М100 Ф25-50  (в летнее время)</t>
  </si>
  <si>
    <t>408-0391</t>
  </si>
  <si>
    <t>Щебень известняковый для строительных работ марки 600 фракции 5-10 мм</t>
  </si>
  <si>
    <t>БРЛ-2.103</t>
  </si>
  <si>
    <t>Бетон тяжелый на гранитном щебне   B22,5 W6 F200 М300 В6 Ф200  (в летнее время)</t>
  </si>
  <si>
    <t>403-0106</t>
  </si>
  <si>
    <t>АРМ-4</t>
  </si>
  <si>
    <t>Сетка плоская тип ПКЖ из арматуры ф-4Вр-1, ф5Вр-1 ячейкой 100*200, 150*200 и др.</t>
  </si>
  <si>
    <t>408-0022</t>
  </si>
  <si>
    <t>Посулихин А.А.</t>
  </si>
  <si>
    <t>Комплекс из 3-х многоквартирных домов по ул. Садовая, 2, расположенных в д.Жилина Орловского муниципального округа.2-й этап строительства -  многоквартирный дом корпус 2 (поз.28)</t>
  </si>
  <si>
    <t xml:space="preserve"> 6.1.3.3  Малые архитектурные формы </t>
  </si>
  <si>
    <t xml:space="preserve"> 6.1.5.3 Ограждение территории </t>
  </si>
  <si>
    <t xml:space="preserve"> 6.2.1.1.3 Проезды и площадки </t>
  </si>
  <si>
    <t xml:space="preserve"> 6.2.1.2.3 Разметка стоянок и  монтаж дорожных знаков </t>
  </si>
  <si>
    <t xml:space="preserve"> 6.2.1.3.3 Устройство подъездных дорог </t>
  </si>
  <si>
    <t xml:space="preserve"> 6.2.2.1.3 Устройство  придомовых тротуаров и площадок </t>
  </si>
  <si>
    <t xml:space="preserve"> 6.2.2.1.4 Водоотводные сооружения (лоток) </t>
  </si>
  <si>
    <t>09-03-050-1</t>
  </si>
  <si>
    <t>Шифр</t>
  </si>
  <si>
    <t>прайс</t>
  </si>
  <si>
    <t>Мусороконтейнеры с крышкой</t>
  </si>
  <si>
    <t>Ворота распашные под автоматику серии PROM-UM: HхW 2200х4500 (оси столбов 4600, профиль 100х100х4мм), заполнение панель, столбы с регулируемыми петлями, под бетонирование (Вариант исполнения: привод 3000А; Цвет: Серый RAL 7024 (Graphitgrau))</t>
  </si>
  <si>
    <t>Калитка серии PROM-T: HxW 2000х1200 мм, под бетонирование, замок, рег. петли (Анти.корр защита горячецинкованное сырье 100-275 г/м2+ полимер 60-100 мкм; Исполнение стандарт; Цвет Серый RAL 7024 (Graphitgrau))</t>
  </si>
  <si>
    <t>Комплект крепежных элементов для хомута (на 4/8 компле.)</t>
  </si>
  <si>
    <t>Комплект хомутов крайних под столб 60х60 (4 компл.) (Антикорр защита: горячецинкованный прокат 100-275 г/м2+ полимер 60-100 мкм; Вариант исполнения: стандарт; Цвет: Серый RAL 7024 (Graphitgrau))</t>
  </si>
  <si>
    <t>Комплект хомутов крайних под столб 80х80 (2 компл.) (Антикорр защита: горячецинкованный прокат 100-275 г/м2+ полимер 60-100 мкм; Вариант исполнения: стандарт; Цвет: Серый RAL 7024 (Graphitgrau))</t>
  </si>
  <si>
    <t>Комплект хомутов под столб 60х60 (4 компл.) (Антикорр защита: горячецинкованный прокат 100-275 г/м2+ полимер 60-100 мкм; Вариант исполнения: стандарт; Цвет: Серый RAL 7024 (Graphitgrau))</t>
  </si>
  <si>
    <t>АРМ-1</t>
  </si>
  <si>
    <t>Отдельные стержни из арматуры разного диаметра и класса А-I и А-III (ф6- 20)</t>
  </si>
  <si>
    <t>Откатные ворота серии GS-FENCE: HxW (ширина проезда) 2000х4500 мм, заполнение панель, под автоматику, открывание вправо (Анти.корр защита горячецинкованное сырье 100-275 г/м2 + полимер 60-100 мкм; Открывание стандарт; Цвет Серый RAL 7024 (Graphitgrau))</t>
  </si>
  <si>
    <t>Панель 3D серии GUARD-F: HxW (высота х ширина) 2030x2500 мм, пруток D=4 мм, ячейка = 50х200 мм, V-образных изгибов 4 (Антикорр. защита: горячецинкованный пруток 100-275 г/м2+ полимер 60-100 мкм; Вариант исполнения: стандарт; Цвет: Серый RAL 7024 (Graphitgrau))</t>
  </si>
  <si>
    <t>Столб ограждения: профиль 60x60x1,5 мм, L= 3000 мм, под бетонирование (Антикорр. защита: горячецинкованный прокат 100-275 г/м2+ полимер 60-100 мкм; Вариант исполнение: под крепление хомут; Цвет: Серый RAL 7024 (Graphitgrau))</t>
  </si>
  <si>
    <t>101-1513</t>
  </si>
  <si>
    <t>Электроды диаметром 4 мм Э42</t>
  </si>
  <si>
    <t>101-1556</t>
  </si>
  <si>
    <t>Битумы нефтяные дорожные марки БНД-60/90, БНД 90/130</t>
  </si>
  <si>
    <t>101-4131</t>
  </si>
  <si>
    <t>Геосетка Полипропиленовая СД30/30</t>
  </si>
  <si>
    <t>Краска фасадная, колер черного и  белого цвета</t>
  </si>
  <si>
    <t>ПЕСОК-1</t>
  </si>
  <si>
    <t>Песок гидронамывной карьер Сухочево МР Болховский (с доставкой)</t>
  </si>
  <si>
    <t>408-0392</t>
  </si>
  <si>
    <t>Щебень известняковый для строительных работ марки 600 фракции 20-40 мм</t>
  </si>
  <si>
    <t xml:space="preserve">6.2.1.2.3 Разметка стоянок и  монтаж дорожных знаков </t>
  </si>
  <si>
    <t>Знаки дорожные на оцинкованной подоснове со световозвращающей пленкой дополнительной информации, размером 350х700 мм, тип 8.1.1, 8.1.3-8.12, 8.14-8.21.3(Инвалиды)</t>
  </si>
  <si>
    <t>1 шт.</t>
  </si>
  <si>
    <t>Знаки дорожные на оцинкованной подоснове со световозвращающей пленкой информационные, размером 700x700 мм, тип 6.2, 6.3.1, 6.3.2, 6.4-6.7, 6.8.1-6.8.3 (Парковка)</t>
  </si>
  <si>
    <t>101-3469</t>
  </si>
  <si>
    <t>Краска фасадная ВД-АК-111 цвет белый</t>
  </si>
  <si>
    <t>Краски цветные, готовые к применению для внутренних работ МА</t>
  </si>
  <si>
    <t>МКОН-19</t>
  </si>
  <si>
    <t>М/конструкции заготовок из трубы   (общего назначения)</t>
  </si>
  <si>
    <t>102-0097</t>
  </si>
  <si>
    <t>Брусья необрезные хвойных пород</t>
  </si>
  <si>
    <t>101-0179</t>
  </si>
  <si>
    <t>403-8818</t>
  </si>
  <si>
    <t>Плитка фигурная тротуарная, серая толщина 60 мм (Паркет гладкая Stelnrus)</t>
  </si>
  <si>
    <t>414-0137</t>
  </si>
  <si>
    <t>Семена газонных трав (смесь)</t>
  </si>
  <si>
    <t>408-0021</t>
  </si>
  <si>
    <t>Щебень известняковый для строительных работ марка 400, фракция 5(3)-10 мм</t>
  </si>
  <si>
    <t>шифр</t>
  </si>
  <si>
    <t>403-8827</t>
  </si>
  <si>
    <t>Бетонные плитки Аликанте цвет серый гладкая Stelnrus 0,08м</t>
  </si>
  <si>
    <t>Бетонные плитки Гранада цвет серый гладкая Stelnrus 0,08м</t>
  </si>
  <si>
    <t>ЖБИ-8.4</t>
  </si>
  <si>
    <t>Бортовые камни ГОСТ  6665-82    БР 300.60.20</t>
  </si>
  <si>
    <t>101-2135</t>
  </si>
  <si>
    <t>Клей однокомпонентный полиуретановый</t>
  </si>
  <si>
    <t>101-3646</t>
  </si>
  <si>
    <t>Плитка резиновая Sagama Tile зеленый, основание ровное, толщ.0,1м</t>
  </si>
  <si>
    <t>Плитка резиновая Sagama Tile серый, основание ровное, толщ.0,1м</t>
  </si>
  <si>
    <t>Плитка резиновая Sagama Tile&amp;Roll с 70% вкраплением EPDM зеленого цвета, основание ровное, толщ.0,1м</t>
  </si>
  <si>
    <t>Плитка резиновая Sagama Tile&amp;Roll с 70% вкраплением EPDM светло-серого цвета, основание ровное, толщ.0,1м</t>
  </si>
  <si>
    <t>Плитка резиновая Sagama Tile&amp;Roll с 90% вкраплением EPDM бежевого цвета, основание ровное, толщ.0,1м</t>
  </si>
  <si>
    <t>Плитка резиновая Sagama Tile&amp;Roll с 90% вкраплением EPDM белого цвета, основание ровное, толщ.0,1м</t>
  </si>
  <si>
    <t>Плитка фигурная тротуарная, серая толщина 60 мм (Прямоугольник Лайн гладкая Stelnrus)</t>
  </si>
  <si>
    <t>Плиты бетонные лоток 330х150х60мм</t>
  </si>
  <si>
    <t>101-1782</t>
  </si>
  <si>
    <t>Ткань мешочная</t>
  </si>
  <si>
    <t>Щебень известняковый для строительных работ марка 400</t>
  </si>
  <si>
    <t>Щебень известняковый для строительных работ марка 400, фракция 15-25 мм</t>
  </si>
  <si>
    <t>408-0024</t>
  </si>
  <si>
    <t>Щебень известняковый для строительных работ марка 400, фракция 40-70 мм</t>
  </si>
  <si>
    <t>509-5584</t>
  </si>
  <si>
    <t>Лоток пластиковый Standart 100 с пластиковой решеткой</t>
  </si>
  <si>
    <t>БРЛ-4.10</t>
  </si>
  <si>
    <t>Раствор цементный   B7,5 F35 М100 Ф35  (в летнее время)</t>
  </si>
  <si>
    <t>101-2181</t>
  </si>
  <si>
    <t>Шурупы с полукруглой головкой 5х35 мм</t>
  </si>
  <si>
    <t>материал ГП</t>
  </si>
  <si>
    <t>принадлежность материалов</t>
  </si>
  <si>
    <t xml:space="preserve"> 6.2.2.1.5 Устройство  придомовых тротуаров и площадок (изм.6) </t>
  </si>
  <si>
    <t>414-0400</t>
  </si>
  <si>
    <t>Газон рулонный</t>
  </si>
  <si>
    <t>102-0066</t>
  </si>
  <si>
    <t>Доски необрезные хвойных пород длиной 4-6,5 м, шириной 75-150 мм, толщиной 16 мм, IV сорта</t>
  </si>
  <si>
    <t>Приложение №2</t>
  </si>
  <si>
    <t xml:space="preserve">Перечень материалов подрядчика </t>
  </si>
  <si>
    <t>Перечень материалов генподрядчика</t>
  </si>
  <si>
    <t xml:space="preserve"> 5.12.1.5 Система отопления здания</t>
  </si>
  <si>
    <t>15-04-030-4</t>
  </si>
  <si>
    <t>Масляная окраска металлических поверхностей решеток, переплетов, труб диаметром менее 50 мм и т.п., количество окрасок 2</t>
  </si>
  <si>
    <t>100 м2 окрашиваемой поверхности</t>
  </si>
  <si>
    <t>максимальная цена работы</t>
  </si>
  <si>
    <t xml:space="preserve"> 5.3.1.1.3  Монтаж конструкций здания выше 0.000</t>
  </si>
  <si>
    <t xml:space="preserve"> Лоджии</t>
  </si>
  <si>
    <t>13-03-004-26</t>
  </si>
  <si>
    <t xml:space="preserve"> экраны ограждения лоджий</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</si>
  <si>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экранов)</t>
  </si>
  <si>
    <t>Металлические ограждения лоджий</t>
  </si>
  <si>
    <t>Окраска металлических огрунтованных поверхностей эмалью ПФ-115</t>
  </si>
  <si>
    <t xml:space="preserve"> Лестница</t>
  </si>
  <si>
    <t>07-05-016-3</t>
  </si>
  <si>
    <t>100 м ограждения</t>
  </si>
  <si>
    <t>Кухонные зашивки</t>
  </si>
  <si>
    <t>10-05-010-2</t>
  </si>
  <si>
    <t>Облицовка стен по системе «КНАУФ» по одинарному металлическому каркасу из ПН и ПС профилей гипсокартонными листами в два слоя (С 626) с дверным проемом</t>
  </si>
  <si>
    <t>100 м2 стен (за вычетом проемов)</t>
  </si>
  <si>
    <t>Монтаж профилей</t>
  </si>
  <si>
    <t>10-01-039-5</t>
  </si>
  <si>
    <t>Установка люков</t>
  </si>
  <si>
    <t>100 М2 ПРОЕМОВ</t>
  </si>
  <si>
    <t>Зашивки ДЗ-1,ДЗ-1*,ДЗ-2,ДЗ-3</t>
  </si>
  <si>
    <t>10-01-010-1</t>
  </si>
  <si>
    <t>1 м3 древесины в конструкции</t>
  </si>
  <si>
    <t>15-02-024-4</t>
  </si>
  <si>
    <t>Облицовка листами ГКЛВ</t>
  </si>
  <si>
    <t>100 М2 ОТДЕЛЫВАЕМОЙ ПОВЕРХНОСТИ</t>
  </si>
  <si>
    <t>Зашивка техниши</t>
  </si>
  <si>
    <t>Установка люков в перекрытиях, площадь проема до 2 м2</t>
  </si>
  <si>
    <t>100 м2 поверхности</t>
  </si>
  <si>
    <t xml:space="preserve"> 5.8.2.1.3 Монтаж дверей в МОП, входных в квартиры и межкомнатных</t>
  </si>
  <si>
    <t>Двери-деревянные</t>
  </si>
  <si>
    <t xml:space="preserve"> 1 этаж (общие комнаты, гостиные, кухни, спальни, коридоры, прихожие )</t>
  </si>
  <si>
    <t xml:space="preserve"> 1 этаж ( ванные. туалетные )</t>
  </si>
  <si>
    <t xml:space="preserve"> Поэтажный коридор 1-го этажа</t>
  </si>
  <si>
    <t xml:space="preserve"> Лестничная площадка (1-й этаж)</t>
  </si>
  <si>
    <t>100 м шва</t>
  </si>
  <si>
    <t>100 м2 изолируемой поверхности</t>
  </si>
  <si>
    <t xml:space="preserve"> Типовой этаж (кухни, общие комнаты, гостинные спальни. коридоры. прихожие. кладовые, встроенные шкафы )</t>
  </si>
  <si>
    <t xml:space="preserve"> Типовой этаж ( ванные. туалетные )</t>
  </si>
  <si>
    <t>100 м2 оштукатуриваемой поверхности</t>
  </si>
  <si>
    <t>10-01-036-1</t>
  </si>
  <si>
    <t>100 п. м</t>
  </si>
  <si>
    <t xml:space="preserve"> Малярные работы</t>
  </si>
  <si>
    <t>Армирование стеклотканной сеткой в местах сопряжения разнородных материалов</t>
  </si>
  <si>
    <t xml:space="preserve"> Облицовочные работы</t>
  </si>
  <si>
    <t xml:space="preserve"> Навигационные элементы</t>
  </si>
  <si>
    <t>10-01-058-1</t>
  </si>
  <si>
    <t>10 шт. блоков</t>
  </si>
  <si>
    <t>Устройство уголков</t>
  </si>
  <si>
    <t xml:space="preserve"> Обойные работы</t>
  </si>
  <si>
    <t>07-05-039-8</t>
  </si>
  <si>
    <t>10-01-035-2</t>
  </si>
  <si>
    <t>Установка подоконных досок из ПВХ в панельных стенах</t>
  </si>
  <si>
    <t>15-02-015-5</t>
  </si>
  <si>
    <t>Штукатурка поверхностей внутри здания известковым раствором улучшенная по камню и бетону стен</t>
  </si>
  <si>
    <t>26-01-036-1</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</si>
  <si>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</si>
  <si>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</si>
  <si>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</si>
  <si>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Установка уголков ПВХ на клее (Установка F-профиля)</t>
  </si>
  <si>
    <t>Установка уголков ПВХ на клее (Установка стартового профиля)</t>
  </si>
  <si>
    <t>Установка уголков ПВХ на клее (Установка нащельника ПВХ (снаружи))</t>
  </si>
  <si>
    <t>12-01-010-1</t>
  </si>
  <si>
    <t>12-01-015-3</t>
  </si>
  <si>
    <t>Устройство пароизоляции прокладочной в один слой (Устройство шумогасящей прокладки под отлив)</t>
  </si>
  <si>
    <t xml:space="preserve">Примечание: </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</si>
  <si>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</si>
  <si>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</si>
  <si>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</si>
  <si>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</si>
  <si>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</si>
  <si>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</si>
  <si>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</si>
  <si>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</si>
  <si>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</si>
  <si>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</si>
  <si>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</si>
  <si>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</si>
  <si>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</si>
  <si>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</si>
  <si>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</si>
  <si>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</si>
  <si>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</si>
  <si>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</si>
  <si>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</si>
  <si>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</si>
  <si>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</si>
  <si>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</si>
  <si>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</si>
  <si>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r>
      <t xml:space="preserve">свидетельство о допуске к ведению работ (СРО) </t>
    </r>
    <r>
      <rPr>
        <b/>
        <sz val="11"/>
        <rFont val="Arial Narrow"/>
        <family val="2"/>
        <charset val="204"/>
      </rPr>
      <t>не обязательно;</t>
    </r>
  </si>
  <si>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</si>
  <si>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Охрана объекта - Генподрядчик</t>
  </si>
  <si>
    <t>При наличии лиц не имеющих гражданство России, наличие документов, подтверждающих право работы в России (патент и т.д.)</t>
  </si>
  <si>
    <t>Гарантийный срок на выполняемые работы  - 66 месяцев</t>
  </si>
  <si>
    <t>Итго максимальная стоимость работ, с НДС</t>
  </si>
  <si>
    <t>Комплекс из 3-х многоквартирных домов на земельном участке №22 по ул.Черепичная в г.Орле. 3-й этап строительства - многоквартирный дом корпус 3 (поз.4)</t>
  </si>
  <si>
    <t>Отделка квартир и МОП, секция Б, В (оси 2-3, 3-4)</t>
  </si>
  <si>
    <t>33(1)</t>
  </si>
  <si>
    <t>36(2)</t>
  </si>
  <si>
    <t>39(1)</t>
  </si>
  <si>
    <t>41(2)</t>
  </si>
  <si>
    <t>Металлические лестницы и решетки</t>
  </si>
  <si>
    <t>45(1)</t>
  </si>
  <si>
    <t>Устройство металлических ограждений с поручнями из поливинилхлорида  (поручень)</t>
  </si>
  <si>
    <t xml:space="preserve"> 5.4.2.3.5 Монтаж окон </t>
  </si>
  <si>
    <t xml:space="preserve"> Выше отм. 0.000</t>
  </si>
  <si>
    <t xml:space="preserve">Устройство герметизации коробок окон и балконных дверей мастикой вулканизирующейся тиоколовой ( герметиком силиконовым подоконник)  (Поправка: "Орелстрой" прил.3, т.1,п.05) </t>
  </si>
  <si>
    <t xml:space="preserve">Изоляция изделиями из волокнистых и зернистых материалов с креплением на клее и дюбелями холодных поверхностей наружных стен  (Поправка: "Орелстрой" прил.3, т.1,п.18) </t>
  </si>
  <si>
    <t xml:space="preserve">Устройство мелких покрытий (брандмауэры, парапеты, свесы и т.п.) из листовой оцинкованной стали (отлив)  (Поправка: "Орелстрой" прил.3, т.1,п.15) </t>
  </si>
  <si>
    <t xml:space="preserve">Устройство герметизации коробок окон и балконных дверей мастикой вулканизирующейся тиоколовой (промазка герметиком по отливу)  (Поправка: "Орелстрой" прил.3, т.1,п.05) </t>
  </si>
  <si>
    <t xml:space="preserve"> 5.7.3.3.3 Устройство перегородок из листовых материалов на каркасе</t>
  </si>
  <si>
    <t>Установка элементов каркаса из брусьев (зашивки ДЗ)</t>
  </si>
  <si>
    <t>Облицовка стен по системе «КНАУФ» по одинарному металлическому каркасу из ПН и ПС профилей гипсоволокнистыми листами в два слоя (С 626) с дверным проемом</t>
  </si>
  <si>
    <t>в10-01-039-15</t>
  </si>
  <si>
    <t>Установка входных дверных блоков в квартиру ДУ 21-10 (поз.5,5*)</t>
  </si>
  <si>
    <t>Установка входных дверных блоков в квартиру ДУ 21-10 (поз.6,6*)</t>
  </si>
  <si>
    <t>в10-01-039-10</t>
  </si>
  <si>
    <t>Установка дверных блоков ДГ 21-7 шириной коробки до 100 мм</t>
  </si>
  <si>
    <t>Установка дверных блоков ДГ 21-7 шириной коробки до 100 мм  (котельная, КУИ)</t>
  </si>
  <si>
    <t>в10-01-039-13</t>
  </si>
  <si>
    <t>Установка дверных блоков ДГ 21-9 шириной коробки 120 мм</t>
  </si>
  <si>
    <t>в10-01-039-14</t>
  </si>
  <si>
    <t>Установка дверных блоков ДГ 21-9 шириной коробки 160 мм</t>
  </si>
  <si>
    <t>в10-01-047-3</t>
  </si>
  <si>
    <t>Установка дверных приборов: замки врезные с ручкой (входные дв + куи)</t>
  </si>
  <si>
    <t>100 ШТ</t>
  </si>
  <si>
    <t>Установка дверных приборов ручки-защелки</t>
  </si>
  <si>
    <t xml:space="preserve"> 5.9.1.3.6 Устройство полов, полы котельной </t>
  </si>
  <si>
    <t>11-01-040-3</t>
  </si>
  <si>
    <t>Устройство плинтусов поливинилхлоридных на винтах самонарезающих</t>
  </si>
  <si>
    <t>11-01-039-4</t>
  </si>
  <si>
    <t>Устройство плинтусов из плиток керамических (с/уз, ванные)</t>
  </si>
  <si>
    <t>Устройство плинтусов из плиток керамических (МОП)</t>
  </si>
  <si>
    <t>11-01-049-1</t>
  </si>
  <si>
    <t xml:space="preserve">Укладка металлического накладного профиля (пороги)  (Поправка: "Орелстрой" прил.3, т.1,п.09) </t>
  </si>
  <si>
    <t>100 м профиля</t>
  </si>
  <si>
    <t>в15-02-019-14</t>
  </si>
  <si>
    <t>Огрунтовка бетонных поверхностей</t>
  </si>
  <si>
    <t>100 м2</t>
  </si>
  <si>
    <t>в11-01-036-5</t>
  </si>
  <si>
    <t>Подготовка поверхности пола для укладки линолиума в жилых домах КПД</t>
  </si>
  <si>
    <t>11-01-048-3</t>
  </si>
  <si>
    <t>Устройство сборных оснований из малоформатных ГВЛ на пенополистирольных плитах толщиной слоя до 50 мм</t>
  </si>
  <si>
    <t>11-01-050-1</t>
  </si>
  <si>
    <t>Устройство пароизоляции из полиэтиленовой пленки в один слой насухо</t>
  </si>
  <si>
    <t>11-01-036-1</t>
  </si>
  <si>
    <t>Устройство покрытий из линолеума на клее «Бустилат»</t>
  </si>
  <si>
    <t>11-01-011-5</t>
  </si>
  <si>
    <t>Устройство стяжек легкобетонных толщиной 20 мм (60 мм)</t>
  </si>
  <si>
    <t>100 м2 стяжки</t>
  </si>
  <si>
    <t>11-01-011-6</t>
  </si>
  <si>
    <t>Устройство стяжек на каждые 5 мм изменения толщины стяжки добавлять или исключать к расценке 11-01-011-05</t>
  </si>
  <si>
    <t>11-01-011-1</t>
  </si>
  <si>
    <t>Устройство стяжек цементных толщиной 20 мм</t>
  </si>
  <si>
    <t>11-01-011-2</t>
  </si>
  <si>
    <t>Устройство стяжек на каждые 5 мм изменения толщины стяжки добавлять или исключать к расценке 11-01-011-01</t>
  </si>
  <si>
    <t>и13-03-006-1</t>
  </si>
  <si>
    <t>Устройство гидроизоляции поверхностей герметезирующей цементной смесью "ГЛИМС-Водоstop" пола, толщиной слоя 3 мм</t>
  </si>
  <si>
    <t>11-01-027-6</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</si>
  <si>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t>
  </si>
  <si>
    <t xml:space="preserve"> Тамбур 2.Лестничная площадка на отм 0,000, Лифтовый холл 1-го этажа</t>
  </si>
  <si>
    <t>Устройство стяжек цементных толщиной 20 мм (38 мм)</t>
  </si>
  <si>
    <t>Устройство стяжек на каждые 5 мм изменения толщины стяжки добавлять или исключать к расценке 11-01-011-01, к=3,6</t>
  </si>
  <si>
    <t>11-01-027-5</t>
  </si>
  <si>
    <t>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t>
  </si>
  <si>
    <t>Устройство стяжек цементных толщиной 20 мм (48 мм)</t>
  </si>
  <si>
    <t>Устройство стяжек на каждые 5 мм изменения толщины стяжки добавлять или исключать к расценке 11-01-011-01, к=5,6</t>
  </si>
  <si>
    <t>1-й этаж (мусорокамера)</t>
  </si>
  <si>
    <t xml:space="preserve"> Электрощитовые, коридор, КУИ</t>
  </si>
  <si>
    <t>Устройство стяжек легкобетонных толщиной 20 мм</t>
  </si>
  <si>
    <t>Устройство стяжек на каждые 5 мм изменения толщины стяжки добавлять или исключать к расценке 11-01-011-05 (45 мм)</t>
  </si>
  <si>
    <t>Устройство стяжек цементных толщиной 20 мм (23 мм)</t>
  </si>
  <si>
    <t xml:space="preserve"> Межквартирный коридор. Лифтовый холл типового этажа.</t>
  </si>
  <si>
    <t>Штукатурные  работы</t>
  </si>
  <si>
    <t>15-02-035-3</t>
  </si>
  <si>
    <t>Отделка поверхностей из сборных элементов и плит под окраску или оклейку обоями потолков сборных панельных</t>
  </si>
  <si>
    <t>15-02-035-1</t>
  </si>
  <si>
    <t>Отделка поверхностей из сборных элементов и плит под окраску или оклейку обоями стен и перегородок панельных</t>
  </si>
  <si>
    <t>15-02-016-1</t>
  </si>
  <si>
    <t>Штукатурка поверхностей внутри здания цементно-известковым или цементным раствором по камню и бетону простая стен</t>
  </si>
  <si>
    <t>15-02-016-3</t>
  </si>
  <si>
    <t>Штукатурка поверхностей внутри здания цементно-известковым или цементным раствором по камню и бетону улучшенная стен</t>
  </si>
  <si>
    <t>15-02-019-5</t>
  </si>
  <si>
    <t>Сплошное выравнивание внутренних поверхностей (однослойное оштукатуривание)из сухих растворных смесей толщиной до 10 мм оконных и дверных откосов плоских</t>
  </si>
  <si>
    <t>15-04-006-1</t>
  </si>
  <si>
    <t>Покрытие поверхностей грунтовкой глубокого проникновения за 1 раз потолков</t>
  </si>
  <si>
    <t>Покрытие поверхностей грунтовкой глубокого проникновения за 1 раз стен</t>
  </si>
  <si>
    <t>в15-04-052-1</t>
  </si>
  <si>
    <t>Шпатлевка поверхностей потолков за один раз внутри помещений выравнивающей шпатлевкой</t>
  </si>
  <si>
    <t>в15-04-052-3</t>
  </si>
  <si>
    <t>Шпатлевка поверхностей потолков за два раза внутри помещений финишной шпатлевкой</t>
  </si>
  <si>
    <t>в15-04-053-1</t>
  </si>
  <si>
    <t>Шпатлевка поверхностей стен за один раз внутри помещений выравнивающей шпатлевкой</t>
  </si>
  <si>
    <t>в15-04-053-2</t>
  </si>
  <si>
    <t>Шпатлевка поверхностей стен за один раз внутри помещений финишной шпатлевкой</t>
  </si>
  <si>
    <t>в15-04-053-3</t>
  </si>
  <si>
    <t>Шпатлевка поверхностей стен за второй слой финишной шпатлевкой</t>
  </si>
  <si>
    <t>Шпатлевка поверхностей стен за один раз внутри помещений финишной шпатлевкой (пожарные шкафы)</t>
  </si>
  <si>
    <t>Шпатлевка поверхностей стен за один раз внутри помещений выравнивающей шпатлевкой (откосы)</t>
  </si>
  <si>
    <t>Шпатлевка поверхностей стен за один раз внутри помещений финишной шпатлевкой (откосы)</t>
  </si>
  <si>
    <t>Шпатлевка поверхностей стен за второй слой финишной шпатлевкой (откосы)</t>
  </si>
  <si>
    <t>и15-04-019-1</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</si>
  <si>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t>
  </si>
  <si>
    <t>Огрунтовка бетонных поверхностей стен</t>
  </si>
  <si>
    <t>Огрунтовка бетонных поверхностей стен (откосы)</t>
  </si>
  <si>
    <t>и15-04-021-4</t>
  </si>
  <si>
    <t>Окраска подготовленных под окраску потолков акриловыми красками внутри помещения за 2 раза по штукатурке и сборным конструкциям</t>
  </si>
  <si>
    <t>и15-04-021-3</t>
  </si>
  <si>
    <t>Окраска подготовленных под окраску стен акриловыми красками внутри помещения за 2 раза по штукатурке и сборным конструкциям</t>
  </si>
  <si>
    <t>Окраска подготовленных под окраску стен акриловыми красками внутри помещения за 2 раза по штукатурке и сборным конструкциям (откосов)</t>
  </si>
  <si>
    <t>15-04-049-5</t>
  </si>
  <si>
    <t>Отделка стен внутри помещения по подготовленным поверхностям рельефным штукатурным акриловым покрытием Терракоат Мелкозернистый вручную</t>
  </si>
  <si>
    <t>Установка уголков ПВХ на клее</t>
  </si>
  <si>
    <t>26-01-054-3</t>
  </si>
  <si>
    <t>Оклеивание поверхности изоляции тканями стеклянными, хлопчатобумажными на клее ПВА</t>
  </si>
  <si>
    <t>100 м2 поверхности покрытия изоляции</t>
  </si>
  <si>
    <t>15-01-019-5</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</si>
  <si>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t>
  </si>
  <si>
    <t>100 М2 ПОВЕРХНОСТИ ОБЛИЦОВКИ</t>
  </si>
  <si>
    <t xml:space="preserve"> Подвесной потолок</t>
  </si>
  <si>
    <t>10-06-040-2</t>
  </si>
  <si>
    <t>Устройство подвесных потолков из гипсоволокнистых листов (ГВЛ) по системе «КНАУФ» одноуровневых (П 213)</t>
  </si>
  <si>
    <t>100 м2 потолка</t>
  </si>
  <si>
    <t>Шпатлевка поверхностей потолков за один раз внутри помещений финишной шпатлевкой (по гипсокартону)</t>
  </si>
  <si>
    <t>Установка табличек с номером этажа , со списком квартир</t>
  </si>
  <si>
    <t>15-06-003-1</t>
  </si>
  <si>
    <t>Установка цифр с нумерацией квартир размером 0,12 х 0,12</t>
  </si>
  <si>
    <t>100 м2 оклеиваемой поверхности</t>
  </si>
  <si>
    <t>Установка указателей</t>
  </si>
  <si>
    <t>Установка указателя пожаробезопасной зоны</t>
  </si>
  <si>
    <t>Установка пиктограммы для обеспечения пожарной безопасности лифтов</t>
  </si>
  <si>
    <t xml:space="preserve"> Штукатурные работы</t>
  </si>
  <si>
    <t xml:space="preserve"> 5.9.3.3.5 Отделка квартир </t>
  </si>
  <si>
    <t>46-03-017-1</t>
  </si>
  <si>
    <t>Заделка отверстий, гнезд и борозд в перекрытиях железобетонных площадью до 0,1 м2</t>
  </si>
  <si>
    <t>1 м3 заделки</t>
  </si>
  <si>
    <t>46-03-017-3</t>
  </si>
  <si>
    <t>Заделка отверстий, гнезд и борозд в стенах и перегородках железобетонных площадью до 0,1 м2</t>
  </si>
  <si>
    <t>Покрытие поверхностей грунтовкой глубокого проникновения за 1 раз потолков (ванные, туалетные, совмещенные с/у)</t>
  </si>
  <si>
    <t>Огрунтовка бетонных поверхностей стен (ванные, туалетные, совмещенные с/уз)</t>
  </si>
  <si>
    <t>Шпатлевка поверхностей потолков за один раз внутри помещений выравнивающей шпатлевкой (ванные, туалетные, совмещенные с/уз)</t>
  </si>
  <si>
    <t>в15-04-052-2</t>
  </si>
  <si>
    <t>Шпатлевка поверхностей потолков за два раза внутри помещений финишной шпатлевкой (помещ. с обоями)</t>
  </si>
  <si>
    <t>Шпатлевка поверхностей потолков за два раза внутри помещений финишной шпатлевкой (помещ. с окраской)</t>
  </si>
  <si>
    <t>Шпатлевка поверхностей стен за один раз внутри помещений выравнивающей шпатлевкой (ванные, туалетные, совмещенные с/у)</t>
  </si>
  <si>
    <t>Шпатлевка поверхностей стен за один раз внутри помещений финишной шпатлевкой  (ванные, туалетные, совмещенные с/у)</t>
  </si>
  <si>
    <t>Шпатлевка поверхностей стен за второй слой финишной шпатлевкой (ванные, туалетные, совмещенные с/у)</t>
  </si>
  <si>
    <t>Шпатлевка поверхностей стен за второй слой финишной шпатлевкой (рабочая стенка кухни+шпаклевка по ГКЛ)</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</si>
  <si>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 (ванные, туалетные, совмещенные с/у)</t>
  </si>
  <si>
    <t>Огрунтовка бетонных поверхностей стен (ванные, туалетные, совмещенные с/у)</t>
  </si>
  <si>
    <t>Огрунтовка бетонных поверхностей стен (рабочая стенка кухни)</t>
  </si>
  <si>
    <t>Окраска подготовленных под окраску потолков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</si>
  <si>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</si>
  <si>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(рабочая стенка кухни)</t>
  </si>
  <si>
    <t>Установка перфорированных уголков</t>
  </si>
  <si>
    <t>15-06-001-2</t>
  </si>
  <si>
    <t>Оклейка обоями стен по монолитной штукатурке и бетону тиснеными и плотными, к=0,7</t>
  </si>
  <si>
    <t>100 м2 оклеиваемой и обиваемой поверхности</t>
  </si>
  <si>
    <t xml:space="preserve"> 5.9.5.3.3 Отделка технических помещений, в том числе техэтаж (чердак)</t>
  </si>
  <si>
    <t>Покрытие поверхностей грунтовкой глубокого проникновения за 1 раз потолков (кладовая уборочного инвентаря)</t>
  </si>
  <si>
    <t>15-04-006-3</t>
  </si>
  <si>
    <t>Шпатлевка поверхностей потолков за один раз внутри помещений выравнивающей шпатлевкой (кладовая уборочного инвентаря)</t>
  </si>
  <si>
    <t>Шпатлевка поверхностей потолков за два раза внутри помещений финишной шпатлевкой (помещ. с окраской) (кладовая уборочного инвентаря)</t>
  </si>
  <si>
    <t>Огрунтовка бетонных и оштукатуренных поверхностей перед окраской акриловыми красками вододисперсионной акриловой грунтовкой потолков</t>
  </si>
  <si>
    <t>и15-04-021-2</t>
  </si>
  <si>
    <t>Окраска подготовленных под окраску потолков акриловыми красками внутри помещения за 1 раз по штукатурке и сборным конструкциям (водомерный узел)</t>
  </si>
  <si>
    <t>15-04-025-10</t>
  </si>
  <si>
    <t>Улучшенная окраска масляными составами по сборным конструкциям стен, подготовленных под окраску (лифт шахта, машинное помещение, кладовая уб инветаря)</t>
  </si>
  <si>
    <t>15-04-002-2</t>
  </si>
  <si>
    <t>Известковая окраска водными составами внутри помещений по кирпичу и бетону</t>
  </si>
  <si>
    <t>и15-04-021-1</t>
  </si>
  <si>
    <t>Окраска подготовленных под окраску стен акриловыми красками внутри помещения за 1 раз по штукатурке и сборным конструкциям  (водомерный узел, насосная.электрощитовая)</t>
  </si>
  <si>
    <t>Огрунтовка бетонных и оштукатуренных поверхностей перед окраской акриловыми красками вододисперсионной акриловой грунтовкой (первый слой) стен</t>
  </si>
  <si>
    <t>15-01-019-1</t>
  </si>
  <si>
    <t>Гладкая облицовка стен, столбов, пилястр и откосов (без карнизных, плинтусных и угловых плиток) без установки плиток туалетного гарнитура на цементном растворе по кирпичу и бетону (мусорокамера)</t>
  </si>
  <si>
    <t xml:space="preserve"> 5.12.2.5 Система естественной вентиляции </t>
  </si>
  <si>
    <t>10-01-058-2</t>
  </si>
  <si>
    <t>Установка решеток щелевых регулирующих</t>
  </si>
  <si>
    <t>10 шт.</t>
  </si>
  <si>
    <t>Сроки производства работ : с момента заключения договора до 30.08.2025г.</t>
  </si>
  <si>
    <t>Ответственный:   Митракова Н.К.</t>
  </si>
  <si>
    <t xml:space="preserve"> 5.5.3.1.5 Отделка уличной части входных групп </t>
  </si>
  <si>
    <t xml:space="preserve">  Вход №1</t>
  </si>
  <si>
    <t>Деталь "Б"</t>
  </si>
  <si>
    <t>и11-01-047-1</t>
  </si>
  <si>
    <t>Устройство покрытий пола из керамического гранита на плиточном клее</t>
  </si>
  <si>
    <t>27-07-005-4</t>
  </si>
  <si>
    <t>Резка тротуарной плитки толщиной 70 мм на отрезном станке</t>
  </si>
  <si>
    <t>1 м реза</t>
  </si>
  <si>
    <t>27-07-005-6</t>
  </si>
  <si>
    <t>Добавлять (уменьшать) на каждые 10 мм к расценке 27-07-005-04</t>
  </si>
  <si>
    <t>Деталь "А"</t>
  </si>
  <si>
    <t>Накладные ступени и подступенки</t>
  </si>
  <si>
    <t>07-05-015-1</t>
  </si>
  <si>
    <t>Устройство лестниц по готовому основанию из отдельных ступеней гладких (Накладная ступень "Три прорези-шагрень")</t>
  </si>
  <si>
    <t>100 М СТУПЕНЕЙ</t>
  </si>
  <si>
    <t>15-01-045-1</t>
  </si>
  <si>
    <t>Облицовка ступеней керамогранитными плитками толщиной до 15 мм (Подступенок для накладных проступей 1500х150х20)</t>
  </si>
  <si>
    <t>Внутренняя отделка</t>
  </si>
  <si>
    <t>и15-04-050-2</t>
  </si>
  <si>
    <t>Шпатлевка поверхностей стен за два раза внутри помещений готовой шпатлевкой по штукатурке и сборным конструкциям</t>
  </si>
  <si>
    <t xml:space="preserve">  Вход №2</t>
  </si>
  <si>
    <t xml:space="preserve"> 5.9.2.3.5  Отделка МОП общестроительные работы</t>
  </si>
  <si>
    <t>Предварительная (максимальная) стоимость комплекса отделочных работ составляет  31 453 182,30 руб. с НДС</t>
  </si>
  <si>
    <t>Объемы работ предварительные,могут меняться в связи с изменениями в рабочей документации, а так же после выдачи ЛСР на отделку квртир типа Комфорт и типа Базовая согласно перечня квартир от 01.02.2025г.который является приложением к данному ТЗ</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</si>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</sst>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67" x14ac:knownFonts="1">
    <font>
      <sz val="10"/>
      <name val="Arial"/>
      <charset val="204"/>
    </font>
    <font>
      <b/>
      <sz val="10"/>
      <color indexed="12"/>
      <name val="Arial"/>
      <family val="2"/>
      <charset val="204"/>
    </font>
    <font>
      <sz val="10"/>
      <color indexed="18"/>
      <name val="Arial"/>
      <family val="2"/>
      <charset val="204"/>
    </font>
    <font>
      <b/>
      <sz val="10"/>
      <color indexed="16"/>
      <name val="Arial"/>
      <family val="2"/>
      <charset val="204"/>
    </font>
    <font>
      <b/>
      <sz val="10"/>
      <color indexed="20"/>
      <name val="Arial"/>
      <family val="2"/>
      <charset val="204"/>
    </font>
    <font>
      <b/>
      <sz val="10"/>
      <color indexed="17"/>
      <name val="Arial"/>
      <family val="2"/>
      <charset val="204"/>
    </font>
    <font>
      <sz val="10"/>
      <color indexed="17"/>
      <name val="Arial"/>
      <family val="2"/>
      <charset val="204"/>
    </font>
    <font>
      <sz val="10"/>
      <color indexed="12"/>
      <name val="Arial"/>
      <family val="2"/>
      <charset val="204"/>
    </font>
    <font>
      <sz val="10"/>
      <color indexed="14"/>
      <name val="Arial"/>
      <family val="2"/>
      <charset val="204"/>
    </font>
    <font>
      <sz val="10"/>
      <color indexed="16"/>
      <name val="Arial"/>
      <family val="2"/>
      <charset val="204"/>
    </font>
    <font>
      <b/>
      <sz val="10"/>
      <color indexed="14"/>
      <name val="Arial"/>
      <family val="2"/>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10"/>
      <color rgb="FF0000FF"/>
      <name val="Arial"/>
      <family val="2"/>
      <charset val="204"/>
    </font>
    <font>
      <sz val="8"/>
      <color rgb="FF0000FF"/>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i/>
      <sz val="10"/>
      <color rgb="FF000080"/>
      <name val="Arial"/>
      <family val="2"/>
      <charset val="204"/>
    </font>
    <font>
      <sz val="10"/>
      <color rgb="FF800000"/>
      <name val="Arial"/>
      <family val="2"/>
      <charset val="204"/>
    </font>
    <font>
      <sz val="10"/>
      <color rgb="FF008000"/>
      <name val="Arial"/>
      <family val="2"/>
      <charset val="204"/>
    </font>
    <font>
      <sz val="10"/>
      <color rgb="FFFF00FF"/>
      <name val="Arial"/>
      <family val="2"/>
      <charset val="204"/>
    </font>
    <font>
      <sz val="10"/>
      <color rgb="FFFF0000"/>
      <name val="Arial"/>
      <family val="2"/>
      <charset val="204"/>
    </font>
    <font>
      <sz val="8"/>
      <name val="Times New Roman Cyr"/>
      <charset val="204"/>
    </font>
    <font>
      <b/>
      <u/>
      <sz val="12"/>
      <name val="Times New Roman"/>
      <family val="1"/>
      <charset val="204"/>
    </font>
    <font>
      <sz val="8"/>
      <name val="Times New Roman"/>
      <family val="1"/>
      <charset val="204"/>
    </font>
    <font>
      <sz val="9"/>
      <color rgb="FF008000"/>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sz val="11"/>
      <color theme="1"/>
      <name val="Calibri"/>
      <family val="2"/>
      <scheme val="minor"/>
    </font>
    <font>
      <sz val="11"/>
      <color rgb="FF00B0F0"/>
      <name val="Arial Narrow"/>
      <family val="2"/>
      <charset val="204"/>
    </font>
    <font>
      <sz val="11"/>
      <name val="Arial Narrow"/>
      <family val="2"/>
      <charset val="204"/>
    </font>
    <font>
      <b/>
      <sz val="14"/>
      <name val="Arial Narrow"/>
      <family val="2"/>
      <charset val="204"/>
    </font>
    <font>
      <sz val="14"/>
      <name val="Arial Narrow"/>
      <family val="2"/>
      <charset val="204"/>
    </font>
    <font>
      <b/>
      <sz val="12"/>
      <name val="Arial"/>
      <family val="2"/>
      <charset val="204"/>
    </font>
    <font>
      <b/>
      <sz val="11"/>
      <name val="Arial Narrow"/>
      <family val="2"/>
      <charset val="204"/>
    </font>
    <font>
      <u/>
      <sz val="11"/>
      <name val="Arial Narrow"/>
      <family val="2"/>
      <charset val="204"/>
    </font>
    <font>
      <b/>
      <u/>
      <sz val="11"/>
      <name val="Arial Narrow"/>
      <family val="2"/>
      <charset val="204"/>
    </font>
    <font>
      <b/>
      <sz val="11"/>
      <color rgb="FF00B0F0"/>
      <name val="Arial Narrow"/>
      <family val="2"/>
      <charset val="204"/>
    </font>
    <font>
      <sz val="16"/>
      <color rgb="FF00B0F0"/>
      <name val="Arial Narrow"/>
      <family val="2"/>
      <charset val="204"/>
    </font>
    <font>
      <b/>
      <sz val="10"/>
      <name val="Arial Narrow"/>
      <family val="2"/>
      <charset val="204"/>
    </font>
    <font>
      <b/>
      <sz val="10"/>
      <color rgb="FF00B0F0"/>
      <name val="Arial Narrow"/>
      <family val="2"/>
      <charset val="204"/>
    </font>
    <font>
      <b/>
      <sz val="7"/>
      <color rgb="FF00B0F0"/>
      <name val="Arial Narrow"/>
      <family val="2"/>
      <charset val="204"/>
    </font>
    <font>
      <i/>
      <sz val="16"/>
      <color rgb="FF00B0F0"/>
      <name val="Arial Narrow"/>
      <family val="2"/>
      <charset val="204"/>
    </font>
    <font>
      <b/>
      <sz val="11"/>
      <name val="Arial"/>
      <family val="2"/>
      <charset val="204"/>
    </font>
    <font>
      <b/>
      <u/>
      <sz val="11"/>
      <name val="Arial"/>
      <family val="2"/>
      <charset val="204"/>
    </font>
    <font>
      <sz val="10"/>
      <name val="Times New Roman"/>
      <family val="1"/>
      <charset val="204"/>
    </font>
    <font>
      <b/>
      <u/>
      <sz val="9"/>
      <name val="Arial"/>
      <family val="2"/>
      <charset val="204"/>
    </font>
    <font>
      <sz val="9"/>
      <color rgb="FFFFFFFF"/>
      <name val="Arial"/>
      <family val="2"/>
      <charset val="204"/>
    </font>
    <font>
      <b/>
      <sz val="11"/>
      <color theme="4" tint="-0.249977111117893"/>
      <name val="Arial Narrow"/>
      <family val="2"/>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6" fillId="0" borderId="0"/>
    <xf numFmtId="0" fontId="11" fillId="0" borderId="0"/>
  </cellStyleXfs>
  <cellXfs count="50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4"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9" xfId="0" applyBorder="1"/>
    <xf numFmtId="0" fontId="25" fillId="0" borderId="0" xfId="0" applyFont="1"/>
    <xf numFmtId="0" fontId="26" fillId="0" borderId="0" xfId="0" applyFont="1" applyAlignment="1">
      <alignment wrapText="1"/>
    </xf>
    <xf numFmtId="0" fontId="12" fillId="0" borderId="24" xfId="0" applyFont="1" applyBorder="1" applyAlignment="1">
      <alignment horizontal="left" vertical="top" wrapText="1"/>
    </xf>
    <xf numFmtId="0" fontId="22" fillId="0" borderId="23" xfId="0" applyFont="1" applyBorder="1" applyAlignment="1">
      <alignment horizontal="left" vertical="top" wrapText="1"/>
    </xf>
    <xf numFmtId="0" fontId="12" fillId="0" borderId="23" xfId="0" applyFont="1" applyBorder="1" applyAlignment="1">
      <alignment horizontal="right" wrapText="1"/>
    </xf>
    <xf numFmtId="0" fontId="22" fillId="0" borderId="23" xfId="0" applyFont="1" applyBorder="1" applyAlignment="1">
      <alignment horizontal="right" shrinkToFit="1"/>
    </xf>
    <xf numFmtId="4" fontId="22" fillId="0" borderId="23" xfId="0" applyNumberFormat="1" applyFont="1" applyBorder="1" applyAlignment="1">
      <alignment horizontal="right" shrinkToFit="1"/>
    </xf>
    <xf numFmtId="3" fontId="24" fillId="0" borderId="23" xfId="0" applyNumberFormat="1" applyFont="1" applyBorder="1" applyAlignment="1">
      <alignment horizontal="right" shrinkToFit="1"/>
    </xf>
    <xf numFmtId="0" fontId="28" fillId="0" borderId="23" xfId="0" applyFont="1" applyBorder="1" applyAlignment="1">
      <alignment horizontal="right" shrinkToFit="1"/>
    </xf>
    <xf numFmtId="3" fontId="24" fillId="0" borderId="25" xfId="0" applyNumberFormat="1" applyFont="1" applyBorder="1" applyAlignment="1">
      <alignment horizontal="right" shrinkToFit="1"/>
    </xf>
    <xf numFmtId="49" fontId="12" fillId="0" borderId="23" xfId="0" applyNumberFormat="1" applyFont="1" applyBorder="1" applyAlignment="1">
      <alignment horizontal="left" vertical="top" wrapText="1"/>
    </xf>
    <xf numFmtId="49" fontId="27" fillId="0" borderId="23" xfId="0" applyNumberFormat="1" applyFont="1" applyBorder="1" applyAlignment="1">
      <alignment horizontal="left" vertical="top" wrapText="1" shrinkToFit="1"/>
    </xf>
    <xf numFmtId="0" fontId="0" fillId="0" borderId="10" xfId="0" applyBorder="1"/>
    <xf numFmtId="0" fontId="0" fillId="0" borderId="26" xfId="0" applyBorder="1"/>
    <xf numFmtId="0" fontId="0" fillId="0" borderId="27" xfId="0" applyBorder="1"/>
    <xf numFmtId="0" fontId="30" fillId="0" borderId="10" xfId="0" applyFont="1" applyBorder="1" applyAlignment="1">
      <alignment horizontal="left" vertical="top" shrinkToFit="1"/>
    </xf>
    <xf numFmtId="0" fontId="0" fillId="0" borderId="28" xfId="0" applyBorder="1"/>
    <xf numFmtId="0" fontId="0" fillId="0" borderId="15" xfId="0" applyBorder="1"/>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8" xfId="0" applyFont="1" applyBorder="1" applyAlignment="1">
      <alignment horizontal="right" wrapText="1"/>
    </xf>
    <xf numFmtId="0" fontId="22" fillId="0" borderId="28" xfId="0" applyFont="1" applyBorder="1" applyAlignment="1">
      <alignment horizontal="right" shrinkToFit="1"/>
    </xf>
    <xf numFmtId="4" fontId="22" fillId="0" borderId="28" xfId="0" applyNumberFormat="1" applyFont="1" applyBorder="1" applyAlignment="1">
      <alignment horizontal="right" shrinkToFit="1"/>
    </xf>
    <xf numFmtId="0" fontId="31" fillId="0" borderId="28" xfId="0" applyFont="1" applyBorder="1" applyAlignment="1">
      <alignment horizontal="left" shrinkToFit="1"/>
    </xf>
    <xf numFmtId="3" fontId="22" fillId="0" borderId="28" xfId="0" applyNumberFormat="1" applyFont="1" applyBorder="1" applyAlignment="1">
      <alignment horizontal="right" shrinkToFit="1"/>
    </xf>
    <xf numFmtId="0" fontId="28" fillId="0" borderId="28" xfId="0" applyFont="1" applyBorder="1" applyAlignment="1">
      <alignment horizontal="right" shrinkToFit="1"/>
    </xf>
    <xf numFmtId="3" fontId="22" fillId="0" borderId="29" xfId="0" applyNumberFormat="1" applyFont="1" applyBorder="1" applyAlignment="1">
      <alignment horizontal="right" shrinkToFit="1"/>
    </xf>
    <xf numFmtId="4" fontId="0" fillId="0" borderId="0" xfId="0" applyNumberFormat="1"/>
    <xf numFmtId="0" fontId="32" fillId="0" borderId="15" xfId="0" applyFont="1" applyBorder="1" applyAlignment="1">
      <alignment horizontal="left" vertical="top" wrapText="1"/>
    </xf>
    <xf numFmtId="0" fontId="32" fillId="0" borderId="28" xfId="0" applyFont="1" applyBorder="1" applyAlignment="1">
      <alignment horizontal="left" vertical="top" wrapText="1"/>
    </xf>
    <xf numFmtId="0" fontId="32" fillId="0" borderId="28" xfId="0" applyFont="1" applyBorder="1" applyAlignment="1">
      <alignment horizontal="right" wrapText="1"/>
    </xf>
    <xf numFmtId="0" fontId="33" fillId="0" borderId="28" xfId="0" applyFont="1" applyBorder="1" applyAlignment="1">
      <alignment horizontal="right" shrinkToFit="1"/>
    </xf>
    <xf numFmtId="4" fontId="33" fillId="0" borderId="28" xfId="0" applyNumberFormat="1" applyFont="1" applyBorder="1" applyAlignment="1">
      <alignment horizontal="left" shrinkToFit="1"/>
    </xf>
    <xf numFmtId="0" fontId="33" fillId="0" borderId="28" xfId="0" applyFont="1" applyBorder="1" applyAlignment="1">
      <alignment horizontal="left" shrinkToFit="1"/>
    </xf>
    <xf numFmtId="4" fontId="33" fillId="0" borderId="28" xfId="0" applyNumberFormat="1" applyFont="1" applyBorder="1" applyAlignment="1">
      <alignment horizontal="right" shrinkToFit="1"/>
    </xf>
    <xf numFmtId="3" fontId="33" fillId="0" borderId="28" xfId="0" applyNumberFormat="1" applyFont="1" applyBorder="1" applyAlignment="1">
      <alignment horizontal="right" shrinkToFit="1"/>
    </xf>
    <xf numFmtId="3" fontId="33" fillId="0" borderId="29" xfId="0" applyNumberFormat="1" applyFont="1" applyBorder="1" applyAlignment="1">
      <alignment horizontal="right" shrinkToFit="1"/>
    </xf>
    <xf numFmtId="9" fontId="33" fillId="0" borderId="28" xfId="0" applyNumberFormat="1" applyFont="1" applyBorder="1" applyAlignment="1">
      <alignment horizontal="right" shrinkToFit="1"/>
    </xf>
    <xf numFmtId="0" fontId="18" fillId="0" borderId="28" xfId="0" applyFont="1" applyBorder="1" applyAlignment="1">
      <alignment vertical="top" shrinkToFit="1"/>
    </xf>
    <xf numFmtId="0" fontId="18" fillId="0" borderId="15" xfId="0" applyFont="1" applyBorder="1" applyAlignment="1">
      <alignment vertical="top" shrinkToFit="1"/>
    </xf>
    <xf numFmtId="0" fontId="32" fillId="0" borderId="16" xfId="0" applyFont="1" applyBorder="1" applyAlignment="1">
      <alignment horizontal="left" vertical="top" wrapText="1"/>
    </xf>
    <xf numFmtId="0" fontId="32" fillId="0" borderId="30" xfId="0" applyFont="1" applyBorder="1" applyAlignment="1">
      <alignment horizontal="left" vertical="top" wrapText="1"/>
    </xf>
    <xf numFmtId="0" fontId="32" fillId="0" borderId="30" xfId="0" applyFont="1" applyBorder="1" applyAlignment="1">
      <alignment horizontal="right" wrapText="1"/>
    </xf>
    <xf numFmtId="0" fontId="33" fillId="0" borderId="30" xfId="0" applyFont="1" applyBorder="1" applyAlignment="1">
      <alignment horizontal="right" shrinkToFit="1"/>
    </xf>
    <xf numFmtId="4" fontId="33" fillId="0" borderId="30" xfId="0" applyNumberFormat="1" applyFont="1" applyBorder="1" applyAlignment="1">
      <alignment horizontal="left" shrinkToFit="1"/>
    </xf>
    <xf numFmtId="0" fontId="33" fillId="0" borderId="30" xfId="0" applyFont="1" applyBorder="1" applyAlignment="1">
      <alignment horizontal="left" shrinkToFit="1"/>
    </xf>
    <xf numFmtId="4" fontId="33" fillId="0" borderId="30" xfId="0" applyNumberFormat="1" applyFont="1" applyBorder="1" applyAlignment="1">
      <alignment horizontal="right" shrinkToFit="1"/>
    </xf>
    <xf numFmtId="3" fontId="33" fillId="0" borderId="30" xfId="0" applyNumberFormat="1" applyFont="1" applyBorder="1" applyAlignment="1">
      <alignment horizontal="right" shrinkToFit="1"/>
    </xf>
    <xf numFmtId="9" fontId="33" fillId="0" borderId="30" xfId="0" applyNumberFormat="1" applyFont="1" applyBorder="1" applyAlignment="1">
      <alignment horizontal="right" shrinkToFit="1"/>
    </xf>
    <xf numFmtId="3" fontId="33" fillId="0" borderId="31" xfId="0" applyNumberFormat="1" applyFont="1" applyBorder="1" applyAlignment="1">
      <alignment horizontal="right" shrinkToFit="1"/>
    </xf>
    <xf numFmtId="0" fontId="0" fillId="0" borderId="5" xfId="0" applyBorder="1"/>
    <xf numFmtId="0" fontId="12" fillId="0" borderId="34"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0" fontId="28" fillId="0" borderId="6" xfId="0" applyFont="1" applyBorder="1" applyAlignment="1">
      <alignment horizontal="right" shrinkToFit="1"/>
    </xf>
    <xf numFmtId="3" fontId="24" fillId="0" borderId="35"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12" fillId="0" borderId="16" xfId="0" applyFont="1" applyBorder="1" applyAlignment="1">
      <alignment horizontal="left" vertical="top" wrapText="1"/>
    </xf>
    <xf numFmtId="0" fontId="12" fillId="0" borderId="30" xfId="0" applyFont="1" applyBorder="1" applyAlignment="1">
      <alignment horizontal="left" vertical="top" wrapText="1"/>
    </xf>
    <xf numFmtId="0" fontId="12" fillId="0" borderId="30" xfId="0" applyFont="1" applyBorder="1" applyAlignment="1">
      <alignment horizontal="right" wrapText="1"/>
    </xf>
    <xf numFmtId="0" fontId="22" fillId="0" borderId="30" xfId="0" applyFont="1" applyBorder="1" applyAlignment="1">
      <alignment horizontal="right" shrinkToFit="1"/>
    </xf>
    <xf numFmtId="4" fontId="22" fillId="0" borderId="30" xfId="0" applyNumberFormat="1" applyFont="1" applyBorder="1" applyAlignment="1">
      <alignment horizontal="right" shrinkToFit="1"/>
    </xf>
    <xf numFmtId="0" fontId="31" fillId="0" borderId="30" xfId="0" applyFont="1" applyBorder="1" applyAlignment="1">
      <alignment horizontal="left" shrinkToFit="1"/>
    </xf>
    <xf numFmtId="3" fontId="22" fillId="0" borderId="30" xfId="0" applyNumberFormat="1" applyFont="1" applyBorder="1" applyAlignment="1">
      <alignment horizontal="right" shrinkToFit="1"/>
    </xf>
    <xf numFmtId="0" fontId="28" fillId="0" borderId="30" xfId="0" applyFont="1" applyBorder="1" applyAlignment="1">
      <alignment horizontal="right" shrinkToFit="1"/>
    </xf>
    <xf numFmtId="3" fontId="22" fillId="0" borderId="31" xfId="0" applyNumberFormat="1" applyFont="1" applyBorder="1" applyAlignment="1">
      <alignment horizontal="right" shrinkToFit="1"/>
    </xf>
    <xf numFmtId="0" fontId="12" fillId="0" borderId="26"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31"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7" xfId="0" applyNumberFormat="1" applyFont="1" applyBorder="1" applyAlignment="1">
      <alignment horizontal="right" shrinkToFit="1"/>
    </xf>
    <xf numFmtId="4" fontId="12" fillId="0" borderId="30" xfId="0" applyNumberFormat="1" applyFont="1" applyBorder="1" applyAlignment="1">
      <alignment horizontal="right" vertical="top" shrinkToFit="1"/>
    </xf>
    <xf numFmtId="0" fontId="0" fillId="0" borderId="19" xfId="0" applyBorder="1" applyAlignment="1">
      <alignment shrinkToFit="1"/>
    </xf>
    <xf numFmtId="0" fontId="18" fillId="0" borderId="19" xfId="0" applyFont="1" applyBorder="1" applyAlignment="1">
      <alignment shrinkToFit="1"/>
    </xf>
    <xf numFmtId="3" fontId="18" fillId="0" borderId="19" xfId="0" applyNumberFormat="1" applyFont="1" applyBorder="1" applyAlignment="1">
      <alignment shrinkToFit="1"/>
    </xf>
    <xf numFmtId="0" fontId="34" fillId="0" borderId="0" xfId="0" applyFont="1"/>
    <xf numFmtId="4" fontId="11" fillId="0" borderId="0" xfId="0" applyNumberFormat="1" applyFont="1" applyAlignment="1">
      <alignment shrinkToFit="1"/>
    </xf>
    <xf numFmtId="3" fontId="11" fillId="0" borderId="0" xfId="0" applyNumberFormat="1" applyFont="1" applyAlignment="1">
      <alignment shrinkToFit="1"/>
    </xf>
    <xf numFmtId="0" fontId="34" fillId="0" borderId="0" xfId="0" applyFont="1" applyAlignment="1">
      <alignment horizontal="left" indent="1"/>
    </xf>
    <xf numFmtId="0" fontId="35" fillId="0" borderId="0" xfId="0" applyFont="1"/>
    <xf numFmtId="0" fontId="35" fillId="0" borderId="0" xfId="0" applyFont="1" applyAlignment="1">
      <alignment horizontal="left" indent="2"/>
    </xf>
    <xf numFmtId="3" fontId="35" fillId="0" borderId="0" xfId="0" applyNumberFormat="1" applyFont="1" applyAlignment="1">
      <alignment shrinkToFit="1"/>
    </xf>
    <xf numFmtId="0" fontId="34" fillId="0" borderId="0" xfId="0" applyFont="1" applyAlignment="1">
      <alignment horizontal="left" indent="3"/>
    </xf>
    <xf numFmtId="0" fontId="35" fillId="0" borderId="0" xfId="0" applyFont="1" applyAlignment="1">
      <alignment horizontal="left" indent="4"/>
    </xf>
    <xf numFmtId="0" fontId="29" fillId="0" borderId="0" xfId="0" applyFont="1"/>
    <xf numFmtId="0" fontId="29" fillId="0" borderId="0" xfId="0" applyFont="1" applyAlignment="1">
      <alignment horizontal="left" indent="2"/>
    </xf>
    <xf numFmtId="3" fontId="29" fillId="0" borderId="0" xfId="0" applyNumberFormat="1" applyFont="1" applyAlignment="1">
      <alignment shrinkToFit="1"/>
    </xf>
    <xf numFmtId="0" fontId="29"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indent="4"/>
    </xf>
    <xf numFmtId="0" fontId="36" fillId="0" borderId="0" xfId="0" applyFont="1"/>
    <xf numFmtId="0" fontId="36" fillId="0" borderId="0" xfId="0" applyFont="1" applyAlignment="1">
      <alignment horizontal="left" indent="6"/>
    </xf>
    <xf numFmtId="3" fontId="36" fillId="0" borderId="0" xfId="0" applyNumberFormat="1" applyFont="1" applyAlignment="1">
      <alignment shrinkToFit="1"/>
    </xf>
    <xf numFmtId="0" fontId="36" fillId="0" borderId="0" xfId="0" applyFont="1" applyAlignment="1">
      <alignment horizontal="left" indent="8"/>
    </xf>
    <xf numFmtId="0" fontId="37" fillId="0" borderId="0" xfId="0" applyFont="1"/>
    <xf numFmtId="0" fontId="37" fillId="0" borderId="0" xfId="0" applyFont="1" applyAlignment="1">
      <alignment horizontal="left" indent="6"/>
    </xf>
    <xf numFmtId="3" fontId="37" fillId="0" borderId="0" xfId="0" applyNumberFormat="1" applyFont="1" applyAlignment="1">
      <alignment shrinkToFit="1"/>
    </xf>
    <xf numFmtId="0" fontId="37" fillId="0" borderId="0" xfId="0" applyFont="1" applyAlignment="1">
      <alignment horizontal="left" indent="8"/>
    </xf>
    <xf numFmtId="0" fontId="38" fillId="0" borderId="0" xfId="0" applyFont="1"/>
    <xf numFmtId="3" fontId="38" fillId="0" borderId="0" xfId="0" applyNumberFormat="1" applyFont="1" applyAlignment="1">
      <alignment shrinkToFit="1"/>
    </xf>
    <xf numFmtId="3" fontId="18" fillId="0" borderId="0" xfId="0" applyNumberFormat="1" applyFont="1" applyAlignment="1">
      <alignment shrinkToFit="1"/>
    </xf>
    <xf numFmtId="0" fontId="37" fillId="0" borderId="0" xfId="0" applyFont="1" applyAlignment="1">
      <alignment horizontal="left" indent="2"/>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39" fillId="0" borderId="0" xfId="0" applyFont="1" applyAlignment="1">
      <alignment horizontal="left"/>
    </xf>
    <xf numFmtId="0" fontId="39" fillId="0" borderId="0" xfId="0" applyFont="1"/>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8"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12" fillId="0" borderId="9" xfId="0" applyFont="1" applyBorder="1" applyAlignment="1">
      <alignment horizontal="left" wrapText="1"/>
    </xf>
    <xf numFmtId="0" fontId="41" fillId="0" borderId="0" xfId="0" applyFont="1" applyAlignment="1">
      <alignment horizontal="left"/>
    </xf>
    <xf numFmtId="0" fontId="41" fillId="0" borderId="0" xfId="0" applyFont="1"/>
    <xf numFmtId="0" fontId="0" fillId="0" borderId="7" xfId="0" applyBorder="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42" fillId="0" borderId="6" xfId="0" applyFont="1" applyFill="1" applyBorder="1" applyAlignment="1">
      <alignment horizontal="left" vertical="top" wrapText="1"/>
    </xf>
    <xf numFmtId="0" fontId="33" fillId="0" borderId="6" xfId="0" applyFont="1" applyFill="1" applyBorder="1" applyAlignment="1">
      <alignment horizontal="left" vertical="top" wrapText="1"/>
    </xf>
    <xf numFmtId="0" fontId="18" fillId="0" borderId="0" xfId="0" applyFont="1" applyAlignment="1">
      <alignment horizontal="left" vertical="top" indent="1"/>
    </xf>
    <xf numFmtId="0" fontId="44" fillId="0" borderId="0" xfId="0" applyFont="1" applyAlignment="1">
      <alignment wrapText="1"/>
    </xf>
    <xf numFmtId="0" fontId="45" fillId="0" borderId="6" xfId="0" applyFont="1" applyFill="1" applyBorder="1" applyAlignment="1">
      <alignment horizontal="center" vertical="top" shrinkToFit="1"/>
    </xf>
    <xf numFmtId="0" fontId="45" fillId="0" borderId="6" xfId="0" applyFont="1" applyFill="1" applyBorder="1" applyAlignment="1">
      <alignment horizontal="left" vertical="top" wrapText="1"/>
    </xf>
    <xf numFmtId="0" fontId="45" fillId="0" borderId="6" xfId="0" applyFont="1" applyFill="1" applyBorder="1" applyAlignment="1">
      <alignment horizontal="right" shrinkToFit="1"/>
    </xf>
    <xf numFmtId="0" fontId="45" fillId="0" borderId="6" xfId="0" applyFont="1" applyFill="1" applyBorder="1"/>
    <xf numFmtId="0" fontId="47" fillId="0" borderId="0" xfId="1" applyFont="1" applyProtection="1"/>
    <xf numFmtId="0" fontId="47" fillId="0" borderId="0" xfId="1" applyFont="1" applyAlignment="1" applyProtection="1">
      <alignment horizontal="center"/>
    </xf>
    <xf numFmtId="0" fontId="47" fillId="0" borderId="0" xfId="2" applyFont="1" applyProtection="1"/>
    <xf numFmtId="0" fontId="47" fillId="0" borderId="9" xfId="1" applyFont="1" applyBorder="1" applyAlignment="1" applyProtection="1">
      <alignment horizontal="center"/>
    </xf>
    <xf numFmtId="2" fontId="47" fillId="0" borderId="9" xfId="1" applyNumberFormat="1" applyFont="1" applyBorder="1" applyProtection="1"/>
    <xf numFmtId="2" fontId="48" fillId="0" borderId="0" xfId="1" applyNumberFormat="1" applyFont="1" applyAlignment="1" applyProtection="1">
      <alignment horizontal="right"/>
    </xf>
    <xf numFmtId="0" fontId="47" fillId="0" borderId="0" xfId="1" applyFont="1" applyBorder="1" applyAlignment="1" applyProtection="1">
      <alignment horizontal="center"/>
    </xf>
    <xf numFmtId="2" fontId="47" fillId="0" borderId="0" xfId="1" applyNumberFormat="1" applyFont="1" applyBorder="1" applyProtection="1"/>
    <xf numFmtId="0" fontId="47" fillId="0" borderId="0" xfId="2" applyFont="1" applyAlignment="1" applyProtection="1">
      <alignment horizontal="center"/>
    </xf>
    <xf numFmtId="0" fontId="47" fillId="0" borderId="0" xfId="2" applyFont="1" applyBorder="1" applyAlignment="1" applyProtection="1">
      <alignment horizontal="center"/>
    </xf>
    <xf numFmtId="2" fontId="47" fillId="0" borderId="0" xfId="2" applyNumberFormat="1" applyFont="1" applyBorder="1" applyProtection="1"/>
    <xf numFmtId="2" fontId="48" fillId="0" borderId="0" xfId="2" applyNumberFormat="1" applyFont="1" applyBorder="1" applyAlignment="1" applyProtection="1">
      <alignment horizontal="right"/>
    </xf>
    <xf numFmtId="0" fontId="50" fillId="0" borderId="0" xfId="2" applyFont="1" applyProtection="1"/>
    <xf numFmtId="0" fontId="50" fillId="0" borderId="0" xfId="2" applyFont="1" applyAlignment="1" applyProtection="1">
      <alignment horizontal="center"/>
    </xf>
    <xf numFmtId="0" fontId="50" fillId="0" borderId="0" xfId="2" applyFont="1" applyAlignment="1" applyProtection="1"/>
    <xf numFmtId="0" fontId="49" fillId="0" borderId="0" xfId="2" applyFont="1" applyAlignment="1" applyProtection="1"/>
    <xf numFmtId="0" fontId="48" fillId="0" borderId="0" xfId="2" applyFont="1" applyProtection="1"/>
    <xf numFmtId="0" fontId="52" fillId="0" borderId="0" xfId="2" applyFont="1" applyProtection="1"/>
    <xf numFmtId="0" fontId="48" fillId="0" borderId="0" xfId="2" applyFont="1" applyAlignment="1" applyProtection="1">
      <alignment horizontal="center" vertical="center" wrapText="1"/>
    </xf>
    <xf numFmtId="2" fontId="48" fillId="0" borderId="0" xfId="2" applyNumberFormat="1" applyFont="1" applyAlignment="1" applyProtection="1"/>
    <xf numFmtId="2" fontId="48" fillId="0" borderId="0" xfId="2" applyNumberFormat="1" applyFont="1" applyProtection="1"/>
    <xf numFmtId="0" fontId="53" fillId="0" borderId="0" xfId="2" applyFont="1" applyAlignment="1" applyProtection="1">
      <alignment vertical="center" wrapText="1"/>
    </xf>
    <xf numFmtId="0" fontId="54" fillId="0" borderId="0" xfId="2" applyFont="1" applyAlignment="1" applyProtection="1">
      <alignment vertical="center" wrapText="1"/>
    </xf>
    <xf numFmtId="0" fontId="55" fillId="0" borderId="0" xfId="2" applyFont="1" applyProtection="1"/>
    <xf numFmtId="0" fontId="52" fillId="0" borderId="0" xfId="2" applyFont="1" applyBorder="1" applyAlignment="1" applyProtection="1">
      <alignment horizontal="left" vertical="center" wrapText="1"/>
      <protection locked="0"/>
    </xf>
    <xf numFmtId="2" fontId="52" fillId="0" borderId="0" xfId="2" applyNumberFormat="1" applyFont="1" applyBorder="1" applyAlignment="1" applyProtection="1">
      <alignment horizontal="left" vertical="center" wrapText="1"/>
      <protection locked="0"/>
    </xf>
    <xf numFmtId="49" fontId="48" fillId="0" borderId="0" xfId="2" applyNumberFormat="1" applyFont="1" applyAlignment="1" applyProtection="1">
      <alignment horizontal="center" vertical="center"/>
    </xf>
    <xf numFmtId="0" fontId="48" fillId="0" borderId="0" xfId="2" applyFont="1" applyAlignment="1" applyProtection="1">
      <alignment horizontal="center"/>
    </xf>
    <xf numFmtId="0" fontId="56" fillId="0" borderId="0" xfId="2" applyFont="1" applyAlignment="1" applyProtection="1">
      <alignment horizontal="center"/>
    </xf>
    <xf numFmtId="0" fontId="58" fillId="0" borderId="0" xfId="2" applyFont="1" applyFill="1" applyAlignment="1" applyProtection="1">
      <alignment vertical="center"/>
    </xf>
    <xf numFmtId="0" fontId="59" fillId="0" borderId="0" xfId="2" applyFont="1" applyAlignment="1" applyProtection="1">
      <alignment vertical="center"/>
    </xf>
    <xf numFmtId="0" fontId="52" fillId="0" borderId="6" xfId="2" applyFont="1" applyBorder="1" applyAlignment="1" applyProtection="1">
      <alignment horizontal="center" wrapText="1"/>
    </xf>
    <xf numFmtId="0" fontId="52" fillId="0" borderId="6" xfId="2" applyNumberFormat="1" applyFont="1" applyBorder="1" applyAlignment="1" applyProtection="1">
      <alignment horizontal="center"/>
    </xf>
    <xf numFmtId="0" fontId="23" fillId="0" borderId="0" xfId="1" applyFont="1" applyAlignment="1">
      <alignment wrapText="1"/>
    </xf>
    <xf numFmtId="0" fontId="60" fillId="0" borderId="0" xfId="2" applyFont="1" applyAlignment="1" applyProtection="1">
      <alignment horizontal="center"/>
    </xf>
    <xf numFmtId="0" fontId="55" fillId="0" borderId="0" xfId="2" applyFont="1" applyAlignment="1" applyProtection="1">
      <alignment vertical="center"/>
    </xf>
    <xf numFmtId="2" fontId="47" fillId="0" borderId="0" xfId="2" applyNumberFormat="1" applyFont="1" applyProtection="1"/>
    <xf numFmtId="0" fontId="11" fillId="0" borderId="0" xfId="2" applyAlignment="1">
      <alignment horizontal="left" vertical="top"/>
    </xf>
    <xf numFmtId="0" fontId="11" fillId="0" borderId="0" xfId="2"/>
    <xf numFmtId="0" fontId="17" fillId="0" borderId="0" xfId="2" applyFont="1"/>
    <xf numFmtId="0" fontId="22" fillId="0" borderId="2" xfId="2" applyFont="1" applyBorder="1" applyAlignment="1">
      <alignment horizontal="center"/>
    </xf>
    <xf numFmtId="0" fontId="22" fillId="0" borderId="1" xfId="2" applyFont="1" applyBorder="1" applyAlignment="1">
      <alignment horizontal="center"/>
    </xf>
    <xf numFmtId="0" fontId="20" fillId="0" borderId="0" xfId="2" applyFont="1" applyAlignment="1">
      <alignment horizontal="center" wrapText="1"/>
    </xf>
    <xf numFmtId="0" fontId="13" fillId="0" borderId="0" xfId="2" applyFont="1"/>
    <xf numFmtId="0" fontId="51" fillId="0" borderId="0" xfId="2" applyFont="1" applyAlignment="1">
      <alignment vertical="top" wrapText="1"/>
    </xf>
    <xf numFmtId="0" fontId="18" fillId="0" borderId="6" xfId="0" applyFont="1" applyBorder="1" applyAlignment="1">
      <alignment horizontal="left" vertical="top" wrapText="1"/>
    </xf>
    <xf numFmtId="0" fontId="11" fillId="0" borderId="6" xfId="2" applyBorder="1" applyAlignment="1">
      <alignment wrapText="1"/>
    </xf>
    <xf numFmtId="0" fontId="18" fillId="3" borderId="0" xfId="0" applyFont="1" applyFill="1"/>
    <xf numFmtId="4" fontId="24" fillId="0" borderId="23" xfId="0" applyNumberFormat="1" applyFont="1" applyBorder="1" applyAlignment="1">
      <alignment horizontal="right" shrinkToFit="1"/>
    </xf>
    <xf numFmtId="4" fontId="24" fillId="0" borderId="6" xfId="0" applyNumberFormat="1" applyFont="1" applyBorder="1" applyAlignment="1">
      <alignment horizontal="right" shrinkToFit="1"/>
    </xf>
    <xf numFmtId="0" fontId="24" fillId="0" borderId="0" xfId="0" applyFont="1" applyAlignment="1">
      <alignment wrapText="1"/>
    </xf>
    <xf numFmtId="0" fontId="65" fillId="0" borderId="0" xfId="0" applyFont="1"/>
    <xf numFmtId="0" fontId="11" fillId="0" borderId="6" xfId="2" applyBorder="1"/>
    <xf numFmtId="0" fontId="11" fillId="0" borderId="6" xfId="2" applyFont="1" applyBorder="1" applyAlignment="1">
      <alignment wrapText="1"/>
    </xf>
    <xf numFmtId="0" fontId="11" fillId="0" borderId="6" xfId="2" applyFont="1" applyBorder="1"/>
    <xf numFmtId="0" fontId="11" fillId="0" borderId="0" xfId="2" applyAlignment="1">
      <alignment horizontal="center" vertical="center"/>
    </xf>
    <xf numFmtId="0" fontId="11" fillId="0" borderId="0" xfId="2" applyFont="1" applyAlignment="1">
      <alignment horizontal="center" vertical="center"/>
    </xf>
    <xf numFmtId="0" fontId="20" fillId="0" borderId="0" xfId="2" applyFont="1" applyAlignment="1">
      <alignment horizontal="center" vertical="center" wrapText="1"/>
    </xf>
    <xf numFmtId="0" fontId="12" fillId="0" borderId="0" xfId="2" applyFont="1" applyAlignment="1">
      <alignment horizontal="center" vertical="center"/>
    </xf>
    <xf numFmtId="0" fontId="22" fillId="0" borderId="2" xfId="2" applyFont="1" applyBorder="1" applyAlignment="1">
      <alignment horizontal="center" vertical="center"/>
    </xf>
    <xf numFmtId="0" fontId="22" fillId="0" borderId="1" xfId="2" applyFont="1" applyBorder="1" applyAlignment="1">
      <alignment horizontal="center" vertical="center"/>
    </xf>
    <xf numFmtId="0" fontId="22" fillId="0" borderId="6" xfId="0" applyFont="1" applyFill="1" applyBorder="1" applyAlignment="1">
      <alignment horizontal="center" vertical="center" shrinkToFit="1"/>
    </xf>
    <xf numFmtId="0" fontId="11" fillId="0" borderId="6" xfId="2" applyBorder="1" applyAlignment="1">
      <alignment horizontal="center" vertical="center" wrapText="1"/>
    </xf>
    <xf numFmtId="0" fontId="11" fillId="0" borderId="6" xfId="2" applyBorder="1" applyAlignment="1">
      <alignment horizontal="center" vertical="center"/>
    </xf>
    <xf numFmtId="0" fontId="11" fillId="0" borderId="6" xfId="2" applyFont="1" applyBorder="1" applyAlignment="1">
      <alignment horizontal="center" vertical="center" wrapText="1"/>
    </xf>
    <xf numFmtId="0" fontId="11" fillId="0" borderId="6" xfId="2" applyFont="1" applyBorder="1" applyAlignment="1">
      <alignment horizontal="center" vertical="center"/>
    </xf>
    <xf numFmtId="0" fontId="11" fillId="0" borderId="0" xfId="2" applyAlignment="1">
      <alignment horizontal="left"/>
    </xf>
    <xf numFmtId="0" fontId="20" fillId="0" borderId="0" xfId="2" applyFont="1" applyAlignment="1">
      <alignment horizontal="left" wrapText="1"/>
    </xf>
    <xf numFmtId="0" fontId="22" fillId="0" borderId="2" xfId="2" applyFont="1" applyBorder="1" applyAlignment="1">
      <alignment horizontal="left"/>
    </xf>
    <xf numFmtId="0" fontId="22" fillId="0" borderId="1" xfId="2" applyFont="1" applyBorder="1" applyAlignment="1">
      <alignment horizontal="left"/>
    </xf>
    <xf numFmtId="0" fontId="22" fillId="0" borderId="6" xfId="0" applyFont="1" applyFill="1" applyBorder="1" applyAlignment="1">
      <alignment horizontal="left" wrapText="1"/>
    </xf>
    <xf numFmtId="0" fontId="11" fillId="0" borderId="6" xfId="2" applyBorder="1" applyAlignment="1">
      <alignment horizontal="left" wrapText="1"/>
    </xf>
    <xf numFmtId="0" fontId="11" fillId="0" borderId="6" xfId="2" applyFont="1" applyBorder="1" applyAlignment="1">
      <alignment horizontal="left" wrapText="1"/>
    </xf>
    <xf numFmtId="0" fontId="11" fillId="0" borderId="6" xfId="2" applyFont="1" applyBorder="1" applyAlignment="1">
      <alignment horizontal="left"/>
    </xf>
    <xf numFmtId="0" fontId="13" fillId="3" borderId="0" xfId="0" applyFont="1" applyFill="1" applyAlignment="1">
      <alignment horizontal="center" vertical="center"/>
    </xf>
    <xf numFmtId="0" fontId="18" fillId="3" borderId="0" xfId="0" applyFont="1" applyFill="1" applyAlignment="1">
      <alignment horizontal="left"/>
    </xf>
    <xf numFmtId="0" fontId="18" fillId="3" borderId="6" xfId="2" applyFont="1" applyFill="1" applyBorder="1" applyAlignment="1">
      <alignment wrapText="1"/>
    </xf>
    <xf numFmtId="0" fontId="18" fillId="3" borderId="0" xfId="2" applyFont="1" applyFill="1"/>
    <xf numFmtId="0" fontId="18" fillId="3" borderId="0" xfId="2" applyFont="1" applyFill="1" applyAlignment="1">
      <alignment horizontal="center" vertical="center"/>
    </xf>
    <xf numFmtId="0" fontId="18" fillId="3" borderId="0" xfId="2" applyFont="1" applyFill="1" applyAlignment="1">
      <alignment horizontal="left"/>
    </xf>
    <xf numFmtId="0" fontId="18" fillId="3" borderId="6" xfId="2" applyFont="1" applyFill="1" applyBorder="1" applyAlignment="1">
      <alignment horizontal="center" vertical="center" wrapText="1"/>
    </xf>
    <xf numFmtId="0" fontId="22" fillId="0" borderId="4" xfId="2" applyFont="1" applyBorder="1" applyAlignment="1">
      <alignment horizontal="center" vertical="center"/>
    </xf>
    <xf numFmtId="0" fontId="22" fillId="0" borderId="4" xfId="2" applyFont="1" applyBorder="1" applyAlignment="1">
      <alignment horizontal="center"/>
    </xf>
    <xf numFmtId="0" fontId="13" fillId="2" borderId="0" xfId="2" applyFont="1" applyFill="1"/>
    <xf numFmtId="0" fontId="11" fillId="2" borderId="0" xfId="2" applyFill="1"/>
    <xf numFmtId="0" fontId="18" fillId="2" borderId="0" xfId="0" applyFont="1" applyFill="1"/>
    <xf numFmtId="0" fontId="65" fillId="2" borderId="0" xfId="0" applyFont="1" applyFill="1"/>
    <xf numFmtId="0" fontId="18" fillId="2" borderId="0" xfId="2" applyFont="1" applyFill="1"/>
    <xf numFmtId="0" fontId="22" fillId="0" borderId="37" xfId="2" applyFont="1" applyBorder="1" applyAlignment="1">
      <alignment horizontal="center"/>
    </xf>
    <xf numFmtId="0" fontId="22" fillId="0" borderId="4" xfId="0" applyFont="1" applyFill="1" applyBorder="1" applyAlignment="1">
      <alignment horizontal="right" shrinkToFit="1"/>
    </xf>
    <xf numFmtId="0" fontId="11" fillId="0" borderId="4" xfId="2" applyBorder="1" applyAlignment="1">
      <alignment wrapText="1"/>
    </xf>
    <xf numFmtId="0" fontId="11" fillId="0" borderId="4" xfId="2" applyBorder="1"/>
    <xf numFmtId="0" fontId="11" fillId="0" borderId="4" xfId="2" applyFont="1" applyBorder="1" applyAlignment="1">
      <alignment wrapText="1"/>
    </xf>
    <xf numFmtId="0" fontId="11" fillId="0" borderId="4" xfId="2" applyFont="1" applyBorder="1"/>
    <xf numFmtId="0" fontId="13" fillId="2" borderId="6" xfId="2" applyFont="1" applyFill="1" applyBorder="1" applyAlignment="1">
      <alignment horizontal="left"/>
    </xf>
    <xf numFmtId="0" fontId="11" fillId="2" borderId="6" xfId="2" applyFont="1" applyFill="1" applyBorder="1" applyAlignment="1">
      <alignment horizontal="left"/>
    </xf>
    <xf numFmtId="0" fontId="11" fillId="2" borderId="10" xfId="2" applyFont="1" applyFill="1" applyBorder="1" applyAlignment="1">
      <alignment horizontal="left"/>
    </xf>
    <xf numFmtId="0" fontId="11" fillId="2" borderId="0" xfId="2" applyFont="1" applyFill="1" applyBorder="1" applyAlignment="1">
      <alignment horizontal="left"/>
    </xf>
    <xf numFmtId="0" fontId="11" fillId="2" borderId="36" xfId="2" applyFont="1" applyFill="1" applyBorder="1" applyAlignment="1">
      <alignment horizontal="left"/>
    </xf>
    <xf numFmtId="3" fontId="22" fillId="0" borderId="6" xfId="0" applyNumberFormat="1" applyFont="1" applyFill="1" applyBorder="1" applyAlignment="1">
      <alignment horizontal="left" shrinkToFit="1"/>
    </xf>
    <xf numFmtId="0" fontId="20" fillId="0" borderId="0" xfId="2" applyFont="1" applyAlignment="1">
      <alignment horizontal="center" wrapText="1"/>
    </xf>
    <xf numFmtId="0" fontId="13" fillId="0" borderId="0" xfId="2" applyFont="1"/>
    <xf numFmtId="0" fontId="18" fillId="3" borderId="6" xfId="2" applyFont="1" applyFill="1" applyBorder="1" applyAlignment="1">
      <alignment horizontal="left"/>
    </xf>
    <xf numFmtId="0" fontId="18" fillId="3" borderId="6" xfId="0" applyFont="1" applyFill="1" applyBorder="1" applyAlignment="1">
      <alignment horizontal="left"/>
    </xf>
    <xf numFmtId="4" fontId="18" fillId="5" borderId="6" xfId="0" applyNumberFormat="1" applyFont="1" applyFill="1" applyBorder="1"/>
    <xf numFmtId="4" fontId="47" fillId="0" borderId="0" xfId="2" applyNumberFormat="1" applyFont="1" applyProtection="1"/>
    <xf numFmtId="4" fontId="55" fillId="0" borderId="0" xfId="2" applyNumberFormat="1" applyFont="1" applyProtection="1"/>
    <xf numFmtId="4" fontId="58" fillId="0" borderId="0" xfId="2" applyNumberFormat="1" applyFont="1" applyFill="1" applyAlignment="1" applyProtection="1">
      <alignment vertical="center"/>
    </xf>
    <xf numFmtId="4" fontId="59" fillId="0" borderId="0" xfId="2" applyNumberFormat="1" applyFont="1" applyAlignment="1" applyProtection="1">
      <alignment vertical="center"/>
    </xf>
    <xf numFmtId="4" fontId="47" fillId="0" borderId="0" xfId="2" applyNumberFormat="1" applyFont="1" applyAlignment="1" applyProtection="1">
      <alignment horizontal="center"/>
    </xf>
    <xf numFmtId="4" fontId="23" fillId="0" borderId="0" xfId="1" applyNumberFormat="1" applyFont="1" applyAlignment="1">
      <alignment wrapText="1"/>
    </xf>
    <xf numFmtId="4" fontId="60" fillId="0" borderId="0" xfId="2" applyNumberFormat="1" applyFont="1" applyAlignment="1" applyProtection="1">
      <alignment horizontal="center"/>
    </xf>
    <xf numFmtId="4" fontId="55" fillId="0" borderId="0" xfId="2" applyNumberFormat="1" applyFont="1" applyAlignment="1" applyProtection="1">
      <alignment vertical="center"/>
    </xf>
    <xf numFmtId="4" fontId="17" fillId="0" borderId="0" xfId="0" applyNumberFormat="1" applyFont="1"/>
    <xf numFmtId="0" fontId="0" fillId="0" borderId="0" xfId="0"/>
    <xf numFmtId="0" fontId="11" fillId="0" borderId="0" xfId="0" applyFont="1"/>
    <xf numFmtId="2" fontId="48" fillId="0" borderId="0" xfId="0" applyNumberFormat="1" applyFont="1" applyAlignment="1" applyProtection="1">
      <alignment horizontal="center"/>
      <protection locked="0"/>
    </xf>
    <xf numFmtId="0" fontId="52" fillId="0" borderId="0" xfId="0" applyFont="1" applyBorder="1" applyAlignment="1" applyProtection="1">
      <alignment horizontal="left"/>
      <protection locked="0"/>
    </xf>
    <xf numFmtId="0" fontId="48" fillId="0" borderId="0" xfId="0" applyFont="1" applyAlignment="1" applyProtection="1">
      <alignment horizontal="center"/>
      <protection locked="0"/>
    </xf>
    <xf numFmtId="2" fontId="48" fillId="0" borderId="0" xfId="0" applyNumberFormat="1" applyFont="1" applyProtection="1">
      <protection locked="0"/>
    </xf>
    <xf numFmtId="0" fontId="48" fillId="0" borderId="0" xfId="0" applyFont="1" applyBorder="1" applyAlignment="1" applyProtection="1">
      <alignment horizontal="left"/>
      <protection locked="0"/>
    </xf>
    <xf numFmtId="0" fontId="48" fillId="0" borderId="0" xfId="0" applyNumberFormat="1" applyFont="1" applyFill="1" applyBorder="1" applyAlignment="1" applyProtection="1">
      <alignment horizontal="justify" vertical="top"/>
    </xf>
    <xf numFmtId="2"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horizontal="left" vertical="top"/>
    </xf>
    <xf numFmtId="2" fontId="48" fillId="0" borderId="0" xfId="0" applyNumberFormat="1" applyFont="1" applyFill="1" applyBorder="1" applyAlignment="1" applyProtection="1">
      <alignment horizontal="left" vertical="top"/>
    </xf>
    <xf numFmtId="0" fontId="48" fillId="0" borderId="0" xfId="0" applyFont="1" applyBorder="1" applyAlignment="1" applyProtection="1">
      <alignment horizontal="center" vertical="center" wrapText="1"/>
      <protection locked="0"/>
    </xf>
    <xf numFmtId="2" fontId="48" fillId="0" borderId="9" xfId="0" applyNumberFormat="1" applyFont="1" applyBorder="1" applyAlignment="1" applyProtection="1">
      <alignment vertical="center" wrapText="1"/>
      <protection locked="0"/>
    </xf>
    <xf numFmtId="0" fontId="18" fillId="0" borderId="0" xfId="0" applyFont="1" applyBorder="1" applyAlignment="1">
      <alignment horizontal="left" vertical="top" wrapText="1"/>
    </xf>
    <xf numFmtId="4" fontId="66" fillId="0" borderId="13" xfId="2" applyNumberFormat="1" applyFont="1" applyBorder="1" applyProtection="1"/>
    <xf numFmtId="0" fontId="47" fillId="0" borderId="0" xfId="2" applyFont="1" applyBorder="1" applyProtection="1"/>
    <xf numFmtId="0" fontId="52" fillId="0" borderId="0" xfId="0" applyFont="1" applyBorder="1" applyAlignment="1" applyProtection="1">
      <alignment horizontal="left"/>
      <protection locked="0"/>
    </xf>
    <xf numFmtId="0" fontId="48" fillId="0" borderId="0" xfId="0" applyFont="1" applyAlignment="1" applyProtection="1">
      <alignment horizontal="right" vertical="top"/>
    </xf>
    <xf numFmtId="49" fontId="0" fillId="0" borderId="0" xfId="0" applyNumberFormat="1" applyAlignment="1">
      <alignment horizontal="justify" vertical="top" wrapText="1"/>
    </xf>
    <xf numFmtId="0" fontId="47" fillId="0" borderId="0" xfId="0" applyFont="1" applyAlignment="1" applyProtection="1">
      <alignment vertical="top"/>
    </xf>
    <xf numFmtId="0" fontId="52" fillId="0" borderId="0" xfId="2" applyFont="1" applyBorder="1" applyAlignment="1" applyProtection="1">
      <protection locked="0"/>
    </xf>
    <xf numFmtId="0" fontId="51" fillId="0" borderId="0" xfId="2" applyFont="1" applyAlignment="1">
      <alignment vertical="top"/>
    </xf>
    <xf numFmtId="2" fontId="22" fillId="0" borderId="6" xfId="0" applyNumberFormat="1" applyFont="1" applyBorder="1" applyAlignment="1">
      <alignment horizontal="right" shrinkToFit="1"/>
    </xf>
    <xf numFmtId="164" fontId="22" fillId="0" borderId="23" xfId="0" applyNumberFormat="1" applyFont="1" applyBorder="1" applyAlignment="1">
      <alignment horizontal="right" shrinkToFit="1"/>
    </xf>
    <xf numFmtId="165" fontId="22" fillId="0" borderId="6" xfId="0" applyNumberFormat="1" applyFont="1" applyBorder="1" applyAlignment="1">
      <alignment horizontal="right" shrinkToFit="1"/>
    </xf>
    <xf numFmtId="164" fontId="22" fillId="0" borderId="6" xfId="0" applyNumberFormat="1" applyFont="1" applyBorder="1" applyAlignment="1">
      <alignment horizontal="right" shrinkToFit="1"/>
    </xf>
    <xf numFmtId="0" fontId="64" fillId="0" borderId="0" xfId="0" applyFont="1" applyBorder="1" applyAlignment="1">
      <alignment horizontal="center" vertical="top" wrapText="1"/>
    </xf>
    <xf numFmtId="0" fontId="12" fillId="0" borderId="41" xfId="0" applyFont="1" applyBorder="1" applyAlignment="1">
      <alignment horizontal="left" vertical="top" wrapText="1"/>
    </xf>
    <xf numFmtId="49" fontId="12" fillId="0" borderId="36" xfId="0" applyNumberFormat="1" applyFont="1" applyBorder="1" applyAlignment="1">
      <alignment horizontal="left" vertical="top" wrapText="1"/>
    </xf>
    <xf numFmtId="0" fontId="22" fillId="0" borderId="36" xfId="0" applyFont="1" applyBorder="1" applyAlignment="1">
      <alignment horizontal="left" vertical="top" wrapText="1"/>
    </xf>
    <xf numFmtId="0" fontId="12" fillId="0" borderId="36" xfId="0" applyFont="1" applyBorder="1" applyAlignment="1">
      <alignment horizontal="right" wrapText="1"/>
    </xf>
    <xf numFmtId="0" fontId="22" fillId="0" borderId="36" xfId="0" applyFont="1" applyBorder="1" applyAlignment="1">
      <alignment horizontal="right" shrinkToFit="1"/>
    </xf>
    <xf numFmtId="4" fontId="24" fillId="0" borderId="36" xfId="0" applyNumberFormat="1" applyFont="1" applyBorder="1" applyAlignment="1">
      <alignment horizontal="right" shrinkToFit="1"/>
    </xf>
    <xf numFmtId="3" fontId="24" fillId="0" borderId="42" xfId="0" applyNumberFormat="1" applyFont="1" applyBorder="1" applyAlignment="1">
      <alignment horizontal="right" shrinkToFit="1"/>
    </xf>
    <xf numFmtId="0" fontId="12" fillId="0" borderId="44" xfId="0" applyFont="1" applyBorder="1" applyAlignment="1">
      <alignment horizontal="left" vertical="top" wrapText="1"/>
    </xf>
    <xf numFmtId="49" fontId="12" fillId="0" borderId="45" xfId="0" applyNumberFormat="1" applyFont="1" applyBorder="1" applyAlignment="1">
      <alignment horizontal="left" vertical="top" wrapText="1"/>
    </xf>
    <xf numFmtId="0" fontId="18" fillId="0" borderId="45" xfId="0" applyFont="1" applyBorder="1" applyAlignment="1">
      <alignment horizontal="left" vertical="top" wrapText="1"/>
    </xf>
    <xf numFmtId="0" fontId="12" fillId="0" borderId="45" xfId="0" applyFont="1" applyBorder="1" applyAlignment="1">
      <alignment horizontal="right" wrapText="1"/>
    </xf>
    <xf numFmtId="0" fontId="22" fillId="0" borderId="45" xfId="0" applyFont="1" applyBorder="1" applyAlignment="1">
      <alignment horizontal="right" shrinkToFit="1"/>
    </xf>
    <xf numFmtId="4" fontId="22" fillId="0" borderId="45" xfId="0" applyNumberFormat="1" applyFont="1" applyBorder="1" applyAlignment="1">
      <alignment horizontal="right" shrinkToFit="1"/>
    </xf>
    <xf numFmtId="4" fontId="18" fillId="5" borderId="46" xfId="0" applyNumberFormat="1" applyFont="1" applyFill="1" applyBorder="1"/>
    <xf numFmtId="0" fontId="25" fillId="0" borderId="36" xfId="0" applyFont="1" applyBorder="1" applyAlignment="1">
      <alignment horizontal="center" vertical="top" wrapText="1"/>
    </xf>
    <xf numFmtId="0" fontId="64" fillId="0" borderId="6" xfId="0" applyFont="1" applyBorder="1" applyAlignment="1">
      <alignment horizontal="left" vertical="top" wrapText="1"/>
    </xf>
    <xf numFmtId="49" fontId="12" fillId="0" borderId="0" xfId="0" applyNumberFormat="1" applyFont="1" applyAlignment="1">
      <alignment horizontal="left" wrapText="1"/>
    </xf>
    <xf numFmtId="0" fontId="0" fillId="0" borderId="0" xfId="0" applyAlignment="1">
      <alignment horizontal="left" wrapText="1"/>
    </xf>
    <xf numFmtId="0" fontId="13" fillId="0" borderId="0" xfId="0" applyFont="1"/>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0" fillId="0" borderId="0" xfId="0" applyFont="1" applyAlignment="1">
      <alignment horizontal="left" vertical="top" wrapText="1"/>
    </xf>
    <xf numFmtId="0" fontId="40" fillId="0" borderId="0" xfId="0" applyFont="1" applyAlignment="1">
      <alignment horizontal="left"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43"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3" fillId="0" borderId="6" xfId="0" applyFont="1" applyFill="1" applyBorder="1" applyAlignment="1">
      <alignment horizontal="left" wrapText="1"/>
    </xf>
    <xf numFmtId="0" fontId="0" fillId="0" borderId="6" xfId="0" applyFill="1" applyBorder="1" applyAlignment="1">
      <alignment horizontal="left" wrapText="1"/>
    </xf>
    <xf numFmtId="0" fontId="12" fillId="0" borderId="9" xfId="0" applyFont="1" applyBorder="1" applyAlignment="1">
      <alignment horizontal="left" wrapText="1"/>
    </xf>
    <xf numFmtId="0" fontId="41" fillId="0" borderId="3" xfId="0" applyFont="1" applyBorder="1" applyAlignment="1">
      <alignment horizontal="center"/>
    </xf>
    <xf numFmtId="49" fontId="12" fillId="0" borderId="2" xfId="0" applyNumberFormat="1" applyFont="1" applyBorder="1" applyAlignment="1">
      <alignment horizontal="center"/>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xf numFmtId="0" fontId="18" fillId="0" borderId="3" xfId="0" applyFont="1" applyBorder="1" applyAlignment="1">
      <alignment horizontal="left" vertical="top" wrapText="1"/>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0" fontId="22" fillId="0" borderId="0" xfId="0" applyFont="1" applyAlignment="1">
      <alignment horizontal="left" vertical="top" wrapTex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49" fontId="22" fillId="0" borderId="0" xfId="0" applyNumberFormat="1" applyFont="1" applyAlignment="1">
      <alignment horizontal="left" vertical="top" wrapText="1"/>
    </xf>
    <xf numFmtId="0" fontId="23" fillId="0" borderId="0" xfId="0" applyFont="1" applyAlignment="1">
      <alignment horizontal="center" wrapText="1"/>
    </xf>
    <xf numFmtId="3" fontId="18" fillId="0" borderId="21"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22" xfId="0" applyNumberFormat="1" applyFont="1" applyBorder="1" applyAlignment="1">
      <alignment vertical="top" shrinkToFi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25" fillId="0" borderId="0" xfId="0" applyFont="1" applyAlignment="1">
      <alignment horizontal="left" vertical="top" wrapText="1"/>
    </xf>
    <xf numFmtId="0" fontId="0" fillId="0" borderId="1" xfId="0" applyBorder="1" applyAlignment="1"/>
    <xf numFmtId="0" fontId="0" fillId="0" borderId="32" xfId="0" applyBorder="1" applyAlignment="1"/>
    <xf numFmtId="0" fontId="0" fillId="0" borderId="33" xfId="0" applyBorder="1" applyAlignment="1"/>
    <xf numFmtId="0" fontId="39" fillId="0" borderId="3" xfId="0" applyFont="1" applyBorder="1" applyAlignment="1">
      <alignment horizontal="center"/>
    </xf>
    <xf numFmtId="0" fontId="18" fillId="0" borderId="0" xfId="0" applyFont="1" applyBorder="1" applyAlignment="1">
      <alignment horizontal="right" wrapText="1"/>
    </xf>
    <xf numFmtId="0" fontId="18" fillId="0" borderId="3" xfId="0" applyFont="1" applyBorder="1" applyAlignment="1">
      <alignment horizontal="right" wrapText="1"/>
    </xf>
    <xf numFmtId="0" fontId="64" fillId="0" borderId="0" xfId="0" applyFont="1" applyAlignment="1">
      <alignment horizontal="center" vertical="top" wrapText="1"/>
    </xf>
    <xf numFmtId="0" fontId="48" fillId="0" borderId="0" xfId="0" applyFont="1" applyBorder="1" applyAlignment="1" applyProtection="1">
      <alignment horizontal="left" vertical="center" wrapText="1"/>
      <protection locked="0"/>
    </xf>
    <xf numFmtId="0" fontId="0" fillId="0" borderId="0" xfId="0" applyAlignment="1">
      <alignment vertical="center" wrapText="1"/>
    </xf>
    <xf numFmtId="0" fontId="48" fillId="0" borderId="0" xfId="0" applyNumberFormat="1" applyFont="1" applyFill="1" applyBorder="1" applyAlignment="1" applyProtection="1">
      <alignment horizontal="justify" vertical="top"/>
    </xf>
    <xf numFmtId="0" fontId="48" fillId="0" borderId="0" xfId="0" applyNumberFormat="1" applyFont="1" applyFill="1" applyBorder="1" applyAlignment="1" applyProtection="1">
      <alignment horizontal="left" vertical="top"/>
    </xf>
    <xf numFmtId="0" fontId="48" fillId="0" borderId="0" xfId="0" applyNumberFormat="1" applyFont="1" applyFill="1" applyBorder="1" applyAlignment="1" applyProtection="1">
      <alignment horizontal="left" vertical="top" wrapText="1"/>
    </xf>
    <xf numFmtId="0" fontId="11" fillId="0" borderId="0" xfId="0" applyFont="1" applyAlignment="1">
      <alignment horizontal="left" wrapText="1"/>
    </xf>
    <xf numFmtId="0" fontId="64" fillId="0" borderId="5" xfId="0" applyFont="1" applyBorder="1" applyAlignment="1">
      <alignment horizontal="center" vertical="top" wrapText="1"/>
    </xf>
    <xf numFmtId="0" fontId="64" fillId="0" borderId="39" xfId="0" applyFont="1" applyBorder="1" applyAlignment="1">
      <alignment horizontal="center" vertical="top" wrapText="1"/>
    </xf>
    <xf numFmtId="0" fontId="25" fillId="0" borderId="5" xfId="0" applyFont="1" applyBorder="1" applyAlignment="1">
      <alignment horizontal="center" vertical="top" wrapText="1"/>
    </xf>
    <xf numFmtId="0" fontId="25" fillId="0" borderId="39" xfId="0" applyFont="1" applyBorder="1" applyAlignment="1">
      <alignment horizontal="center" vertical="top" wrapText="1"/>
    </xf>
    <xf numFmtId="0" fontId="18" fillId="4" borderId="5" xfId="0" applyFont="1" applyFill="1" applyBorder="1" applyAlignment="1">
      <alignment horizontal="center" vertical="top" wrapText="1"/>
    </xf>
    <xf numFmtId="0" fontId="18" fillId="4" borderId="7" xfId="0" applyFont="1" applyFill="1" applyBorder="1" applyAlignment="1">
      <alignment horizontal="center" vertical="top" wrapText="1"/>
    </xf>
    <xf numFmtId="0" fontId="18" fillId="4" borderId="9" xfId="0" applyFont="1" applyFill="1" applyBorder="1" applyAlignment="1">
      <alignment horizontal="center" vertical="top" wrapText="1"/>
    </xf>
    <xf numFmtId="0" fontId="18" fillId="4" borderId="43" xfId="0" applyFont="1" applyFill="1" applyBorder="1" applyAlignment="1">
      <alignment horizontal="center" vertical="top" wrapText="1"/>
    </xf>
    <xf numFmtId="0" fontId="0" fillId="0" borderId="0" xfId="0" applyAlignment="1">
      <alignment horizontal="justify" vertical="top"/>
    </xf>
    <xf numFmtId="0" fontId="64" fillId="0" borderId="0" xfId="0" applyFont="1" applyAlignment="1">
      <alignment horizontal="left" vertical="top" wrapText="1"/>
    </xf>
    <xf numFmtId="0" fontId="13" fillId="0" borderId="38" xfId="0" applyFont="1" applyBorder="1" applyAlignment="1">
      <alignment horizontal="center" vertical="top" wrapText="1"/>
    </xf>
    <xf numFmtId="0" fontId="13" fillId="0" borderId="5" xfId="0" applyFont="1" applyBorder="1" applyAlignment="1">
      <alignment horizontal="center" vertical="top" wrapText="1"/>
    </xf>
    <xf numFmtId="0" fontId="13" fillId="0" borderId="39" xfId="0" applyFont="1" applyBorder="1" applyAlignment="1">
      <alignment horizontal="center" vertical="top" wrapText="1"/>
    </xf>
    <xf numFmtId="0" fontId="64" fillId="0" borderId="3" xfId="0" applyFont="1" applyBorder="1" applyAlignment="1">
      <alignment horizontal="center" vertical="top" wrapText="1"/>
    </xf>
    <xf numFmtId="0" fontId="64" fillId="0" borderId="40" xfId="0" applyFont="1" applyBorder="1" applyAlignment="1">
      <alignment horizontal="center" vertical="top" wrapText="1"/>
    </xf>
    <xf numFmtId="0" fontId="52" fillId="0" borderId="0" xfId="0" applyFont="1" applyFill="1" applyBorder="1" applyAlignment="1" applyProtection="1">
      <alignment horizontal="left"/>
      <protection locked="0"/>
    </xf>
    <xf numFmtId="0" fontId="52" fillId="0" borderId="0" xfId="0" applyFont="1" applyBorder="1" applyAlignment="1" applyProtection="1">
      <alignment horizontal="left" wrapText="1"/>
      <protection locked="0"/>
    </xf>
    <xf numFmtId="0" fontId="48" fillId="0" borderId="0" xfId="1" applyFont="1" applyAlignment="1" applyProtection="1">
      <alignment horizontal="center"/>
    </xf>
    <xf numFmtId="2" fontId="48" fillId="0" borderId="0" xfId="1" applyNumberFormat="1" applyFont="1" applyAlignment="1" applyProtection="1">
      <alignment horizontal="right"/>
    </xf>
    <xf numFmtId="0" fontId="49" fillId="0" borderId="0" xfId="2" applyFont="1" applyAlignment="1" applyProtection="1">
      <alignment horizontal="center"/>
    </xf>
    <xf numFmtId="2" fontId="49" fillId="0" borderId="0" xfId="2" applyNumberFormat="1" applyFont="1" applyBorder="1" applyAlignment="1" applyProtection="1">
      <alignment horizontal="center"/>
    </xf>
    <xf numFmtId="0" fontId="49" fillId="0" borderId="0" xfId="2" applyFont="1" applyAlignment="1" applyProtection="1">
      <alignment horizontal="center" wrapText="1"/>
    </xf>
    <xf numFmtId="0" fontId="51" fillId="0" borderId="0" xfId="2" applyFont="1" applyAlignment="1">
      <alignment horizontal="center" vertical="top" wrapText="1"/>
    </xf>
    <xf numFmtId="0" fontId="52" fillId="0" borderId="0" xfId="2" applyFont="1" applyBorder="1" applyAlignment="1" applyProtection="1">
      <alignment horizontal="left" vertical="center" wrapText="1"/>
      <protection locked="0"/>
    </xf>
    <xf numFmtId="2" fontId="57" fillId="0" borderId="10" xfId="2" applyNumberFormat="1" applyFont="1" applyBorder="1" applyAlignment="1" applyProtection="1">
      <alignment horizontal="center" vertical="center" wrapText="1"/>
    </xf>
    <xf numFmtId="2" fontId="57" fillId="0" borderId="36" xfId="2" applyNumberFormat="1" applyFont="1" applyBorder="1" applyAlignment="1" applyProtection="1">
      <alignment horizontal="center" vertical="center" wrapText="1"/>
    </xf>
    <xf numFmtId="0" fontId="62" fillId="4" borderId="5" xfId="1" applyFont="1" applyFill="1" applyBorder="1" applyAlignment="1">
      <alignment horizontal="center" wrapText="1"/>
    </xf>
    <xf numFmtId="0" fontId="62" fillId="4" borderId="3" xfId="1" applyFont="1" applyFill="1" applyBorder="1" applyAlignment="1">
      <alignment horizontal="center" wrapText="1"/>
    </xf>
    <xf numFmtId="0" fontId="57" fillId="0" borderId="6" xfId="2" applyFont="1" applyBorder="1" applyAlignment="1" applyProtection="1">
      <alignment horizontal="center" vertical="center" wrapText="1"/>
    </xf>
    <xf numFmtId="0" fontId="57" fillId="0" borderId="10" xfId="2" applyFont="1" applyBorder="1" applyAlignment="1" applyProtection="1">
      <alignment horizontal="center" vertical="center" wrapText="1"/>
    </xf>
    <xf numFmtId="0" fontId="57" fillId="0" borderId="36" xfId="2" applyFont="1" applyBorder="1" applyAlignment="1" applyProtection="1">
      <alignment horizontal="center" vertical="center" wrapText="1"/>
    </xf>
    <xf numFmtId="0" fontId="61" fillId="4" borderId="5" xfId="1" applyFont="1" applyFill="1" applyBorder="1" applyAlignment="1">
      <alignment horizontal="center" vertical="top" wrapText="1"/>
    </xf>
    <xf numFmtId="0" fontId="61" fillId="4" borderId="7" xfId="1" applyFont="1" applyFill="1" applyBorder="1" applyAlignment="1">
      <alignment horizontal="center" vertical="top" wrapText="1"/>
    </xf>
    <xf numFmtId="0" fontId="13" fillId="0" borderId="4" xfId="0" applyFont="1" applyBorder="1" applyAlignment="1">
      <alignment horizontal="center" vertical="top" wrapText="1"/>
    </xf>
    <xf numFmtId="0" fontId="13" fillId="0" borderId="7" xfId="0" applyFont="1" applyBorder="1" applyAlignment="1">
      <alignment horizontal="center" vertical="top" wrapText="1"/>
    </xf>
    <xf numFmtId="0" fontId="61" fillId="4" borderId="3" xfId="2" applyFont="1" applyFill="1" applyBorder="1" applyAlignment="1" applyProtection="1">
      <alignment horizontal="center" vertical="center" wrapText="1"/>
    </xf>
    <xf numFmtId="0" fontId="61" fillId="4" borderId="8" xfId="2" applyFont="1" applyFill="1" applyBorder="1" applyAlignment="1" applyProtection="1">
      <alignment horizontal="center" vertical="center" wrapText="1"/>
    </xf>
    <xf numFmtId="0" fontId="64" fillId="0" borderId="0" xfId="0" applyFont="1" applyAlignment="1">
      <alignment horizontal="left" vertical="center" wrapText="1"/>
    </xf>
    <xf numFmtId="0" fontId="40" fillId="0" borderId="0" xfId="2" applyFont="1" applyAlignment="1">
      <alignment horizontal="left" wrapText="1"/>
    </xf>
    <xf numFmtId="0" fontId="13" fillId="0" borderId="0" xfId="2" applyFont="1"/>
    <xf numFmtId="0" fontId="11" fillId="0" borderId="0" xfId="2" applyFont="1" applyBorder="1" applyAlignment="1">
      <alignment horizontal="left" vertical="top" wrapText="1"/>
    </xf>
    <xf numFmtId="0" fontId="11" fillId="0" borderId="0" xfId="2" applyBorder="1" applyAlignment="1">
      <alignment horizontal="left" vertical="top" wrapText="1"/>
    </xf>
    <xf numFmtId="0" fontId="11" fillId="0" borderId="3" xfId="2" applyFont="1" applyBorder="1" applyAlignment="1">
      <alignment horizontal="left" vertical="top" wrapText="1"/>
    </xf>
    <xf numFmtId="0" fontId="11" fillId="0" borderId="3" xfId="2" applyBorder="1" applyAlignment="1">
      <alignment horizontal="left" vertical="top" wrapText="1"/>
    </xf>
    <xf numFmtId="0" fontId="11" fillId="0" borderId="5" xfId="2" applyFont="1" applyBorder="1" applyAlignment="1">
      <alignment horizontal="left" vertical="top" wrapText="1"/>
    </xf>
    <xf numFmtId="0" fontId="11" fillId="0" borderId="5" xfId="2" applyBorder="1" applyAlignment="1">
      <alignment horizontal="left" vertical="top" wrapText="1"/>
    </xf>
    <xf numFmtId="0" fontId="11" fillId="0" borderId="0" xfId="2" applyAlignment="1">
      <alignment horizontal="center" wrapText="1"/>
    </xf>
    <xf numFmtId="0" fontId="20" fillId="0" borderId="0" xfId="2" applyFont="1" applyAlignment="1">
      <alignment horizontal="center" wrapText="1"/>
    </xf>
    <xf numFmtId="0" fontId="63" fillId="0" borderId="0" xfId="2" applyFont="1" applyAlignment="1">
      <alignment horizontal="center" wrapText="1"/>
    </xf>
    <xf numFmtId="0" fontId="18" fillId="4" borderId="0" xfId="2" applyFont="1" applyFill="1" applyAlignment="1">
      <alignment horizontal="center" wrapText="1"/>
    </xf>
    <xf numFmtId="0" fontId="18" fillId="0" borderId="0" xfId="2" applyFont="1" applyAlignment="1">
      <alignment horizontal="center" wrapText="1"/>
    </xf>
    <xf numFmtId="0" fontId="40" fillId="0" borderId="0" xfId="2" applyFont="1" applyAlignment="1">
      <alignment horizontal="left" vertical="top" wrapText="1"/>
    </xf>
    <xf numFmtId="0" fontId="11" fillId="3" borderId="3" xfId="2" applyFill="1" applyBorder="1" applyAlignment="1">
      <alignment horizontal="left" vertical="center"/>
    </xf>
    <xf numFmtId="0" fontId="11" fillId="3" borderId="8" xfId="2" applyFill="1" applyBorder="1" applyAlignment="1">
      <alignment horizontal="left" vertical="center"/>
    </xf>
    <xf numFmtId="49" fontId="12" fillId="0" borderId="0" xfId="2" applyNumberFormat="1" applyFont="1" applyAlignment="1">
      <alignment horizontal="left" wrapText="1"/>
    </xf>
    <xf numFmtId="0" fontId="11" fillId="0" borderId="0" xfId="2" applyAlignment="1">
      <alignment horizontal="left" wrapText="1"/>
    </xf>
    <xf numFmtId="0" fontId="11" fillId="2" borderId="10" xfId="2" applyFont="1" applyFill="1" applyBorder="1" applyAlignment="1">
      <alignment horizontal="left" wrapText="1"/>
    </xf>
    <xf numFmtId="0" fontId="11" fillId="2" borderId="28" xfId="2" applyFont="1" applyFill="1" applyBorder="1" applyAlignment="1">
      <alignment horizontal="left" wrapText="1"/>
    </xf>
    <xf numFmtId="0" fontId="11" fillId="2" borderId="36" xfId="2" applyFont="1" applyFill="1" applyBorder="1" applyAlignment="1">
      <alignment horizontal="left" wrapText="1"/>
    </xf>
    <xf numFmtId="49" fontId="18" fillId="3" borderId="0" xfId="0" applyNumberFormat="1" applyFont="1" applyFill="1" applyAlignment="1">
      <alignment horizontal="left" vertical="top" wrapText="1"/>
    </xf>
    <xf numFmtId="0" fontId="18" fillId="3" borderId="0" xfId="0" applyFont="1" applyFill="1" applyAlignment="1">
      <alignment horizontal="left" vertical="top" wrapText="1"/>
    </xf>
    <xf numFmtId="0" fontId="24" fillId="3" borderId="4" xfId="0" applyFont="1" applyFill="1" applyBorder="1" applyAlignment="1">
      <alignment horizontal="left" vertical="top" wrapText="1"/>
    </xf>
    <xf numFmtId="0" fontId="24" fillId="3" borderId="5" xfId="0" applyFont="1" applyFill="1" applyBorder="1" applyAlignment="1">
      <alignment horizontal="left" vertical="top" wrapText="1"/>
    </xf>
    <xf numFmtId="0" fontId="18" fillId="3" borderId="4" xfId="2" applyFont="1" applyFill="1" applyBorder="1" applyAlignment="1">
      <alignment horizontal="left" wrapText="1"/>
    </xf>
    <xf numFmtId="0" fontId="18" fillId="3" borderId="5" xfId="2" applyFont="1" applyFill="1" applyBorder="1" applyAlignment="1">
      <alignment horizontal="left" wrapText="1"/>
    </xf>
    <xf numFmtId="0" fontId="18" fillId="3" borderId="7" xfId="2" applyFont="1" applyFill="1" applyBorder="1" applyAlignment="1">
      <alignment horizontal="left" wrapText="1"/>
    </xf>
    <xf numFmtId="0" fontId="18" fillId="3" borderId="3" xfId="2" applyFont="1" applyFill="1" applyBorder="1" applyAlignment="1">
      <alignment horizontal="left"/>
    </xf>
    <xf numFmtId="0" fontId="47" fillId="0" borderId="0" xfId="2" applyFont="1" applyFill="1" applyProtection="1"/>
    <xf numFmtId="0" fontId="52" fillId="0" borderId="0" xfId="2" applyFont="1" applyBorder="1" applyAlignment="1" applyProtection="1">
      <alignment horizontal="left" wrapText="1"/>
      <protection locked="0"/>
    </xf>
    <xf numFmtId="0" fontId="48" fillId="0" borderId="0" xfId="0" applyFont="1" applyFill="1" applyAlignment="1" applyProtection="1">
      <alignment horizontal="right" vertical="top"/>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5"/>
  <sheetViews>
    <sheetView workbookViewId="0">
      <selection activeCell="F40" sqref="F40"/>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108.7109375" hidden="1" customWidth="1"/>
    <col min="73" max="73" width="125.7109375" hidden="1" customWidth="1"/>
    <col min="74" max="76" width="0" hidden="1" customWidth="1"/>
    <col min="77" max="77" width="37.7109375" hidden="1" customWidth="1"/>
    <col min="78" max="78" width="19.7109375" hidden="1" customWidth="1"/>
    <col min="79" max="256" width="0" hidden="1" customWidth="1"/>
  </cols>
  <sheetData>
    <row r="1" spans="1:255" s="15" customFormat="1" ht="11.25" x14ac:dyDescent="0.2">
      <c r="A1" s="358" t="s">
        <v>211</v>
      </c>
      <c r="B1" s="358"/>
      <c r="C1" s="358"/>
      <c r="D1" s="358"/>
      <c r="E1" s="358"/>
      <c r="F1" s="358"/>
      <c r="G1" s="358"/>
      <c r="H1" s="358"/>
      <c r="I1" s="358"/>
      <c r="J1" s="358"/>
      <c r="K1" s="358"/>
    </row>
    <row r="3" spans="1:255" x14ac:dyDescent="0.2">
      <c r="A3" s="20" t="s">
        <v>218</v>
      </c>
      <c r="B3" s="19"/>
      <c r="C3" s="359"/>
      <c r="D3" s="360"/>
      <c r="E3" s="360"/>
      <c r="F3" s="360"/>
      <c r="G3" s="360"/>
      <c r="H3" s="360"/>
      <c r="I3" s="360"/>
      <c r="J3" s="360"/>
      <c r="K3" s="360"/>
      <c r="BR3" s="22">
        <f>C3</f>
        <v>0</v>
      </c>
      <c r="IU3" s="23"/>
    </row>
    <row r="4" spans="1:255" x14ac:dyDescent="0.2">
      <c r="A4" s="20" t="s">
        <v>220</v>
      </c>
      <c r="B4" s="19"/>
      <c r="C4" s="361"/>
      <c r="D4" s="362"/>
      <c r="E4" s="362"/>
      <c r="F4" s="362"/>
      <c r="G4" s="362"/>
      <c r="H4" s="362"/>
      <c r="I4" s="362"/>
      <c r="J4" s="362"/>
      <c r="K4" s="362"/>
      <c r="BR4" s="22">
        <f>C4</f>
        <v>0</v>
      </c>
      <c r="IU4" s="23"/>
    </row>
    <row r="5" spans="1:255" x14ac:dyDescent="0.2">
      <c r="A5" s="20" t="s">
        <v>221</v>
      </c>
      <c r="B5" s="19"/>
      <c r="C5" s="361"/>
      <c r="D5" s="362"/>
      <c r="E5" s="362"/>
      <c r="F5" s="362"/>
      <c r="G5" s="362"/>
      <c r="H5" s="362"/>
      <c r="I5" s="362"/>
      <c r="J5" s="362"/>
      <c r="K5" s="362"/>
      <c r="BR5" s="22">
        <f>C5</f>
        <v>0</v>
      </c>
      <c r="IU5" s="23"/>
    </row>
    <row r="6" spans="1:255" x14ac:dyDescent="0.2">
      <c r="A6" s="20" t="s">
        <v>222</v>
      </c>
      <c r="B6" s="19"/>
      <c r="C6" s="363"/>
      <c r="D6" s="364"/>
      <c r="E6" s="364"/>
      <c r="F6" s="364"/>
      <c r="G6" s="364"/>
      <c r="H6" s="364"/>
      <c r="I6" s="364"/>
      <c r="J6" s="364"/>
      <c r="K6" s="364"/>
      <c r="BR6" s="22">
        <f>C6</f>
        <v>0</v>
      </c>
      <c r="IU6" s="23"/>
    </row>
    <row r="7" spans="1:255" x14ac:dyDescent="0.2">
      <c r="A7" s="365"/>
      <c r="B7" s="365"/>
      <c r="C7" s="365"/>
      <c r="D7" s="365"/>
      <c r="E7" s="365"/>
      <c r="F7" s="365"/>
      <c r="G7" s="365"/>
      <c r="H7" s="365"/>
      <c r="I7" s="365"/>
      <c r="J7" s="365"/>
      <c r="K7" s="365"/>
    </row>
    <row r="8" spans="1:255" ht="18.75" x14ac:dyDescent="0.3">
      <c r="A8" s="366" t="s">
        <v>385</v>
      </c>
      <c r="B8" s="366"/>
      <c r="C8" s="366"/>
      <c r="D8" s="366"/>
      <c r="E8" s="366"/>
      <c r="F8" s="366"/>
      <c r="G8" s="366"/>
      <c r="H8" s="366"/>
      <c r="I8" s="366"/>
      <c r="J8" s="366"/>
      <c r="K8" s="366"/>
    </row>
    <row r="9" spans="1:255" x14ac:dyDescent="0.2">
      <c r="A9" s="367" t="s">
        <v>386</v>
      </c>
      <c r="B9" s="367"/>
      <c r="C9" s="367"/>
      <c r="D9" s="367"/>
      <c r="E9" s="367"/>
      <c r="F9" s="367"/>
      <c r="G9" s="367"/>
      <c r="H9" s="367"/>
      <c r="I9" s="367"/>
      <c r="J9" s="367"/>
      <c r="K9" s="367"/>
    </row>
    <row r="10" spans="1:255" x14ac:dyDescent="0.2">
      <c r="A10" s="367"/>
      <c r="B10" s="367"/>
      <c r="C10" s="367"/>
      <c r="D10" s="367"/>
      <c r="E10" s="367"/>
      <c r="F10" s="367"/>
      <c r="G10" s="367"/>
      <c r="H10" s="367"/>
      <c r="I10" s="367"/>
      <c r="J10" s="367"/>
      <c r="K10" s="367"/>
    </row>
    <row r="11" spans="1:255" ht="31.5" x14ac:dyDescent="0.25">
      <c r="A11" s="14" t="s">
        <v>349</v>
      </c>
      <c r="B11" s="368" t="s">
        <v>4</v>
      </c>
      <c r="C11" s="368"/>
      <c r="D11" s="368"/>
      <c r="E11" s="368"/>
      <c r="F11" s="368"/>
      <c r="G11" s="368"/>
      <c r="H11" s="368"/>
      <c r="I11" s="368"/>
      <c r="J11" s="368"/>
      <c r="K11" s="368"/>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1.5" x14ac:dyDescent="0.25">
      <c r="A12" s="14" t="s">
        <v>224</v>
      </c>
      <c r="B12" s="369" t="s">
        <v>4</v>
      </c>
      <c r="C12" s="369"/>
      <c r="D12" s="369"/>
      <c r="E12" s="369"/>
      <c r="F12" s="369"/>
      <c r="G12" s="369"/>
      <c r="H12" s="369"/>
      <c r="I12" s="369"/>
      <c r="J12" s="369"/>
      <c r="K12" s="369"/>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56" t="s">
        <v>244</v>
      </c>
      <c r="C13" s="357"/>
      <c r="D13" s="357"/>
      <c r="E13" s="357"/>
      <c r="F13" s="357"/>
      <c r="G13" s="357"/>
      <c r="H13" s="357"/>
      <c r="I13" s="357"/>
      <c r="J13" s="357"/>
      <c r="K13" s="357"/>
      <c r="BT13" s="22">
        <f>C13</f>
        <v>0</v>
      </c>
      <c r="IU13" s="23"/>
    </row>
    <row r="15" spans="1:255" x14ac:dyDescent="0.2">
      <c r="A15" s="168" t="s">
        <v>350</v>
      </c>
      <c r="B15" s="168" t="s">
        <v>352</v>
      </c>
      <c r="C15" s="168" t="s">
        <v>355</v>
      </c>
      <c r="D15" s="168" t="s">
        <v>357</v>
      </c>
      <c r="E15" s="168" t="s">
        <v>388</v>
      </c>
      <c r="F15" s="370" t="s">
        <v>390</v>
      </c>
      <c r="G15" s="371"/>
      <c r="H15" s="371"/>
      <c r="I15" s="168" t="s">
        <v>395</v>
      </c>
      <c r="J15" s="168"/>
      <c r="K15" s="169" t="s">
        <v>398</v>
      </c>
    </row>
    <row r="16" spans="1:255" x14ac:dyDescent="0.2">
      <c r="A16" s="170" t="s">
        <v>351</v>
      </c>
      <c r="B16" s="170" t="s">
        <v>353</v>
      </c>
      <c r="C16" s="170" t="s">
        <v>387</v>
      </c>
      <c r="D16" s="170" t="s">
        <v>358</v>
      </c>
      <c r="E16" s="170" t="s">
        <v>389</v>
      </c>
      <c r="F16" s="168" t="s">
        <v>391</v>
      </c>
      <c r="G16" s="168" t="s">
        <v>393</v>
      </c>
      <c r="H16" s="168" t="s">
        <v>394</v>
      </c>
      <c r="I16" s="170" t="s">
        <v>396</v>
      </c>
      <c r="J16" s="170" t="s">
        <v>397</v>
      </c>
      <c r="K16" s="171" t="s">
        <v>399</v>
      </c>
    </row>
    <row r="17" spans="1:255" x14ac:dyDescent="0.2">
      <c r="A17" s="170"/>
      <c r="B17" s="170" t="s">
        <v>354</v>
      </c>
      <c r="C17" s="170"/>
      <c r="D17" s="170" t="s">
        <v>359</v>
      </c>
      <c r="E17" s="170"/>
      <c r="F17" s="170" t="s">
        <v>392</v>
      </c>
      <c r="G17" s="170"/>
      <c r="H17" s="170"/>
      <c r="I17" s="170"/>
      <c r="J17" s="170"/>
      <c r="K17" s="171" t="s">
        <v>400</v>
      </c>
    </row>
    <row r="18" spans="1:255" x14ac:dyDescent="0.2">
      <c r="A18" s="168">
        <v>1</v>
      </c>
      <c r="B18" s="168">
        <v>2</v>
      </c>
      <c r="C18" s="168">
        <v>3</v>
      </c>
      <c r="D18" s="168">
        <v>4</v>
      </c>
      <c r="E18" s="168">
        <v>5</v>
      </c>
      <c r="F18" s="168">
        <v>6</v>
      </c>
      <c r="G18" s="168">
        <v>7</v>
      </c>
      <c r="H18" s="168">
        <v>8</v>
      </c>
      <c r="I18" s="168">
        <v>9</v>
      </c>
      <c r="J18" s="168">
        <v>10</v>
      </c>
      <c r="K18" s="169">
        <v>11</v>
      </c>
    </row>
    <row r="19" spans="1:255" ht="15" x14ac:dyDescent="0.25">
      <c r="A19" s="372" t="s">
        <v>401</v>
      </c>
      <c r="B19" s="373"/>
      <c r="C19" s="373"/>
      <c r="D19" s="373"/>
      <c r="E19" s="373"/>
      <c r="F19" s="373"/>
      <c r="G19" s="373"/>
      <c r="H19" s="373"/>
      <c r="I19" s="373"/>
      <c r="J19" s="373"/>
      <c r="K19" s="374"/>
      <c r="BU19" s="193" t="str">
        <f>A19</f>
        <v>Смета: Устройство котлована</v>
      </c>
      <c r="IU19" s="23"/>
    </row>
    <row r="20" spans="1:255" ht="15" x14ac:dyDescent="0.25">
      <c r="A20" s="375" t="s">
        <v>16</v>
      </c>
      <c r="B20" s="376"/>
      <c r="C20" s="376"/>
      <c r="D20" s="376"/>
      <c r="E20" s="376"/>
      <c r="F20" s="376"/>
      <c r="G20" s="376"/>
      <c r="H20" s="376"/>
      <c r="I20" s="376"/>
      <c r="J20" s="376"/>
      <c r="K20" s="376"/>
      <c r="BU20" s="193" t="str">
        <f>A20</f>
        <v>Удаление насыпного грунта и срезка растительного грунта смотри ЛСР № 4.1.3.1; №4.1.3.2</v>
      </c>
      <c r="IU20" s="23"/>
    </row>
    <row r="21" spans="1:255" ht="60" x14ac:dyDescent="0.2">
      <c r="A21" s="194" t="s">
        <v>17</v>
      </c>
      <c r="B21" s="195" t="s">
        <v>18</v>
      </c>
      <c r="C21" s="195" t="s">
        <v>19</v>
      </c>
      <c r="D21" s="195" t="s">
        <v>20</v>
      </c>
      <c r="E21" s="196">
        <f>Source!I25</f>
        <v>3.2006999999999999</v>
      </c>
      <c r="F21" s="196"/>
      <c r="G21" s="196"/>
      <c r="H21" s="196"/>
      <c r="I21" s="196"/>
      <c r="J21" s="197"/>
      <c r="K21" s="197"/>
    </row>
    <row r="22" spans="1:255" ht="48" x14ac:dyDescent="0.2">
      <c r="A22" s="194" t="s">
        <v>25</v>
      </c>
      <c r="B22" s="195" t="s">
        <v>26</v>
      </c>
      <c r="C22" s="195" t="s">
        <v>27</v>
      </c>
      <c r="D22" s="195" t="s">
        <v>28</v>
      </c>
      <c r="E22" s="196">
        <f>Source!I27</f>
        <v>5505.2039999999997</v>
      </c>
      <c r="F22" s="196"/>
      <c r="G22" s="196"/>
      <c r="H22" s="196"/>
      <c r="I22" s="196"/>
      <c r="J22" s="197"/>
      <c r="K22" s="197"/>
    </row>
    <row r="23" spans="1:255" ht="24" x14ac:dyDescent="0.2">
      <c r="A23" s="194" t="s">
        <v>33</v>
      </c>
      <c r="B23" s="195" t="s">
        <v>34</v>
      </c>
      <c r="C23" s="195" t="s">
        <v>35</v>
      </c>
      <c r="D23" s="195" t="s">
        <v>20</v>
      </c>
      <c r="E23" s="196">
        <f>Source!I29</f>
        <v>3.2006999999999999</v>
      </c>
      <c r="F23" s="196"/>
      <c r="G23" s="196"/>
      <c r="H23" s="196"/>
      <c r="I23" s="196"/>
      <c r="J23" s="197"/>
      <c r="K23" s="197"/>
    </row>
    <row r="24" spans="1:255" ht="36" x14ac:dyDescent="0.2">
      <c r="A24" s="194" t="s">
        <v>37</v>
      </c>
      <c r="B24" s="195" t="s">
        <v>38</v>
      </c>
      <c r="C24" s="195" t="s">
        <v>39</v>
      </c>
      <c r="D24" s="195" t="s">
        <v>40</v>
      </c>
      <c r="E24" s="196">
        <f>Source!I31</f>
        <v>1.4420999999999999</v>
      </c>
      <c r="F24" s="196"/>
      <c r="G24" s="196"/>
      <c r="H24" s="196"/>
      <c r="I24" s="196"/>
      <c r="J24" s="197"/>
      <c r="K24" s="197"/>
    </row>
    <row r="27" spans="1:255" ht="22.5" x14ac:dyDescent="0.2">
      <c r="A27" s="162" t="s">
        <v>334</v>
      </c>
      <c r="B27" s="162"/>
      <c r="C27" s="174" t="s">
        <v>403</v>
      </c>
      <c r="D27" s="163"/>
      <c r="E27" s="163"/>
      <c r="F27" s="377" t="s">
        <v>7</v>
      </c>
      <c r="G27" s="377"/>
      <c r="BY27" s="164" t="str">
        <f>C27</f>
        <v xml:space="preserve"> Главный инженер сметчик сметно-расчетной службы ООО "ОДСК"</v>
      </c>
      <c r="BZ27" s="164" t="str">
        <f>F27</f>
        <v>Кузнецова У. И.</v>
      </c>
      <c r="IU27" s="23"/>
    </row>
    <row r="28" spans="1:255" s="176" customFormat="1" ht="11.25" x14ac:dyDescent="0.2">
      <c r="A28" s="175"/>
      <c r="B28" s="175"/>
      <c r="C28" s="378" t="s">
        <v>330</v>
      </c>
      <c r="D28" s="378"/>
      <c r="E28" s="378"/>
      <c r="F28" s="378" t="s">
        <v>331</v>
      </c>
      <c r="G28" s="378"/>
    </row>
    <row r="29" spans="1:255" x14ac:dyDescent="0.2">
      <c r="A29" s="18"/>
      <c r="B29" s="18"/>
      <c r="C29" s="18"/>
      <c r="D29" s="11" t="s">
        <v>332</v>
      </c>
      <c r="E29" s="18"/>
      <c r="F29" s="18"/>
      <c r="G29" s="18"/>
    </row>
    <row r="30" spans="1:255" ht="22.5" x14ac:dyDescent="0.2">
      <c r="A30" s="162" t="s">
        <v>335</v>
      </c>
      <c r="B30" s="162"/>
      <c r="C30" s="174" t="s">
        <v>343</v>
      </c>
      <c r="D30" s="163"/>
      <c r="E30" s="163"/>
      <c r="F30" s="377" t="s">
        <v>337</v>
      </c>
      <c r="G30" s="377"/>
      <c r="BY30" s="164" t="str">
        <f>C30</f>
        <v>Руководитель сметно-расчетной службы ООО "ОДСК"</v>
      </c>
      <c r="BZ30" s="164" t="str">
        <f>F30</f>
        <v>Артамонова Ю.А.</v>
      </c>
      <c r="IU30" s="23"/>
    </row>
    <row r="31" spans="1:255" s="176" customFormat="1" ht="11.25" x14ac:dyDescent="0.2">
      <c r="A31" s="175"/>
      <c r="B31" s="175"/>
      <c r="C31" s="378" t="s">
        <v>330</v>
      </c>
      <c r="D31" s="378"/>
      <c r="E31" s="378"/>
      <c r="F31" s="378" t="s">
        <v>331</v>
      </c>
      <c r="G31" s="378"/>
    </row>
    <row r="32" spans="1:255" x14ac:dyDescent="0.2">
      <c r="A32" s="18"/>
      <c r="B32" s="18"/>
      <c r="C32" s="18"/>
      <c r="D32" s="11" t="s">
        <v>332</v>
      </c>
      <c r="E32" s="18"/>
      <c r="F32" s="18"/>
      <c r="G32" s="18"/>
    </row>
    <row r="33" spans="1:255" x14ac:dyDescent="0.2">
      <c r="A33" s="162" t="s">
        <v>221</v>
      </c>
      <c r="B33" s="162"/>
      <c r="C33" s="174" t="s">
        <v>344</v>
      </c>
      <c r="D33" s="163"/>
      <c r="E33" s="163"/>
      <c r="F33" s="377" t="s">
        <v>345</v>
      </c>
      <c r="G33" s="377"/>
      <c r="BY33" s="164" t="str">
        <f>C33</f>
        <v>Руководитель ПТО ООО "ОСУ-2"</v>
      </c>
      <c r="BZ33" s="164" t="str">
        <f>F33</f>
        <v>Когтев В. И.</v>
      </c>
      <c r="IU33" s="23"/>
    </row>
    <row r="34" spans="1:255" s="176" customFormat="1" ht="11.25" x14ac:dyDescent="0.2">
      <c r="A34" s="175"/>
      <c r="B34" s="175"/>
      <c r="C34" s="378" t="s">
        <v>330</v>
      </c>
      <c r="D34" s="378"/>
      <c r="E34" s="378"/>
      <c r="F34" s="378" t="s">
        <v>331</v>
      </c>
      <c r="G34" s="378"/>
    </row>
    <row r="35" spans="1:255" x14ac:dyDescent="0.2">
      <c r="A35" s="18"/>
      <c r="B35" s="18"/>
      <c r="C35" s="18"/>
      <c r="D35" s="11" t="s">
        <v>332</v>
      </c>
      <c r="E35" s="18"/>
      <c r="F35" s="18"/>
      <c r="G35" s="18"/>
    </row>
  </sheetData>
  <mergeCells count="24">
    <mergeCell ref="F30:G30"/>
    <mergeCell ref="C31:E31"/>
    <mergeCell ref="F31:G31"/>
    <mergeCell ref="F33:G33"/>
    <mergeCell ref="C34:E34"/>
    <mergeCell ref="F34:G34"/>
    <mergeCell ref="F15:H15"/>
    <mergeCell ref="A19:K19"/>
    <mergeCell ref="A20:K20"/>
    <mergeCell ref="F27:G27"/>
    <mergeCell ref="C28:E28"/>
    <mergeCell ref="F28:G28"/>
    <mergeCell ref="B13:K13"/>
    <mergeCell ref="A1:K1"/>
    <mergeCell ref="C3:K3"/>
    <mergeCell ref="C4:K4"/>
    <mergeCell ref="C5:K5"/>
    <mergeCell ref="C6:K6"/>
    <mergeCell ref="A7:K7"/>
    <mergeCell ref="A8:K8"/>
    <mergeCell ref="A9:K9"/>
    <mergeCell ref="A10:K10"/>
    <mergeCell ref="B11:K11"/>
    <mergeCell ref="B12:K12"/>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110"/>
  <sheetViews>
    <sheetView topLeftCell="A94" zoomScaleNormal="100" zoomScaleSheetLayoutView="100" workbookViewId="0">
      <selection activeCell="F94" sqref="F1:F1048576"/>
    </sheetView>
  </sheetViews>
  <sheetFormatPr defaultRowHeight="12.75" x14ac:dyDescent="0.2"/>
  <cols>
    <col min="1" max="1" width="6.7109375" style="253" customWidth="1"/>
    <col min="2" max="2" width="10.7109375" style="236" hidden="1" customWidth="1"/>
    <col min="3" max="3" width="50.85546875" style="264" customWidth="1"/>
    <col min="4" max="5" width="8.7109375" style="236" customWidth="1"/>
    <col min="6" max="33" width="9.140625" style="282" customWidth="1"/>
    <col min="34" max="181" width="9.140625" style="236" customWidth="1"/>
    <col min="182" max="16384" width="9.140625" style="236"/>
  </cols>
  <sheetData>
    <row r="1" spans="1:180" s="241" customFormat="1" ht="11.25" hidden="1" x14ac:dyDescent="0.2">
      <c r="A1" s="470" t="s">
        <v>211</v>
      </c>
      <c r="B1" s="470"/>
      <c r="C1" s="470"/>
      <c r="D1" s="470"/>
      <c r="E1" s="470"/>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row>
    <row r="2" spans="1:180" hidden="1" x14ac:dyDescent="0.2"/>
    <row r="3" spans="1:180" hidden="1" x14ac:dyDescent="0.2">
      <c r="A3" s="254" t="s">
        <v>218</v>
      </c>
      <c r="B3" s="235"/>
      <c r="C3" s="471"/>
      <c r="D3" s="472"/>
      <c r="E3" s="472"/>
      <c r="FX3" s="237"/>
    </row>
    <row r="4" spans="1:180" hidden="1" x14ac:dyDescent="0.2">
      <c r="A4" s="254" t="s">
        <v>220</v>
      </c>
      <c r="B4" s="235"/>
      <c r="C4" s="473"/>
      <c r="D4" s="474"/>
      <c r="E4" s="474"/>
      <c r="FX4" s="237"/>
    </row>
    <row r="5" spans="1:180" hidden="1" x14ac:dyDescent="0.2">
      <c r="A5" s="254" t="s">
        <v>221</v>
      </c>
      <c r="B5" s="235"/>
      <c r="C5" s="473"/>
      <c r="D5" s="474"/>
      <c r="E5" s="474"/>
      <c r="FX5" s="237"/>
    </row>
    <row r="6" spans="1:180" hidden="1" x14ac:dyDescent="0.2">
      <c r="A6" s="254" t="s">
        <v>222</v>
      </c>
      <c r="B6" s="235"/>
      <c r="C6" s="475"/>
      <c r="D6" s="476"/>
      <c r="E6" s="476"/>
      <c r="FX6" s="237"/>
    </row>
    <row r="7" spans="1:180" hidden="1" x14ac:dyDescent="0.2">
      <c r="A7" s="477"/>
      <c r="B7" s="477"/>
      <c r="C7" s="477"/>
      <c r="D7" s="477"/>
      <c r="E7" s="477"/>
    </row>
    <row r="8" spans="1:180" ht="18.75" hidden="1" x14ac:dyDescent="0.3">
      <c r="A8" s="478" t="s">
        <v>347</v>
      </c>
      <c r="B8" s="478"/>
      <c r="C8" s="478"/>
      <c r="D8" s="478"/>
      <c r="E8" s="478"/>
    </row>
    <row r="9" spans="1:180" ht="27" customHeight="1" x14ac:dyDescent="0.3">
      <c r="A9" s="255"/>
      <c r="B9" s="240"/>
      <c r="C9" s="265"/>
      <c r="D9" s="479" t="s">
        <v>565</v>
      </c>
      <c r="E9" s="479"/>
    </row>
    <row r="10" spans="1:180" ht="18.75" x14ac:dyDescent="0.3">
      <c r="A10" s="255"/>
      <c r="B10" s="240"/>
      <c r="C10" s="265"/>
      <c r="D10" s="240"/>
      <c r="E10" s="240"/>
    </row>
    <row r="11" spans="1:180" x14ac:dyDescent="0.2">
      <c r="A11" s="480" t="s">
        <v>566</v>
      </c>
      <c r="B11" s="480"/>
      <c r="C11" s="480"/>
      <c r="D11" s="480"/>
      <c r="E11" s="480"/>
    </row>
    <row r="12" spans="1:180" x14ac:dyDescent="0.2">
      <c r="A12" s="481"/>
      <c r="B12" s="481"/>
      <c r="C12" s="481"/>
      <c r="D12" s="481"/>
      <c r="E12" s="481"/>
    </row>
    <row r="13" spans="1:180" ht="49.5" customHeight="1" x14ac:dyDescent="0.2">
      <c r="A13" s="256" t="s">
        <v>349</v>
      </c>
      <c r="B13" s="482" t="s">
        <v>477</v>
      </c>
      <c r="C13" s="482"/>
      <c r="D13" s="482"/>
      <c r="E13" s="482"/>
      <c r="FX13" s="237"/>
    </row>
    <row r="14" spans="1:180" ht="24.75" customHeight="1" x14ac:dyDescent="0.25">
      <c r="A14" s="256" t="s">
        <v>224</v>
      </c>
      <c r="B14" s="469"/>
      <c r="C14" s="469"/>
      <c r="D14" s="469"/>
      <c r="E14" s="469"/>
      <c r="FX14" s="237"/>
    </row>
    <row r="15" spans="1:180" hidden="1" x14ac:dyDescent="0.2">
      <c r="A15" s="256" t="s">
        <v>225</v>
      </c>
      <c r="B15" s="485" t="s">
        <v>428</v>
      </c>
      <c r="C15" s="486"/>
      <c r="D15" s="486"/>
      <c r="E15" s="486"/>
      <c r="FX15" s="237"/>
    </row>
    <row r="16" spans="1:180" hidden="1" x14ac:dyDescent="0.2"/>
    <row r="17" spans="1:190" hidden="1" x14ac:dyDescent="0.2">
      <c r="A17" s="256" t="s">
        <v>239</v>
      </c>
    </row>
    <row r="18" spans="1:190" hidden="1" x14ac:dyDescent="0.2">
      <c r="A18" s="256" t="s">
        <v>240</v>
      </c>
    </row>
    <row r="19" spans="1:190" ht="12.75" customHeight="1" x14ac:dyDescent="0.2">
      <c r="A19" s="257" t="s">
        <v>350</v>
      </c>
      <c r="B19" s="238" t="s">
        <v>352</v>
      </c>
      <c r="C19" s="266" t="s">
        <v>355</v>
      </c>
      <c r="D19" s="238" t="s">
        <v>357</v>
      </c>
      <c r="E19" s="238" t="s">
        <v>360</v>
      </c>
    </row>
    <row r="20" spans="1:190" x14ac:dyDescent="0.2">
      <c r="A20" s="258" t="s">
        <v>351</v>
      </c>
      <c r="B20" s="239" t="s">
        <v>353</v>
      </c>
      <c r="C20" s="267" t="s">
        <v>356</v>
      </c>
      <c r="D20" s="239" t="s">
        <v>358</v>
      </c>
      <c r="E20" s="239" t="s">
        <v>361</v>
      </c>
    </row>
    <row r="21" spans="1:190" x14ac:dyDescent="0.2">
      <c r="A21" s="258"/>
      <c r="B21" s="239" t="s">
        <v>354</v>
      </c>
      <c r="C21" s="267"/>
      <c r="D21" s="239" t="s">
        <v>359</v>
      </c>
      <c r="E21" s="286"/>
    </row>
    <row r="22" spans="1:190" x14ac:dyDescent="0.2">
      <c r="A22" s="279">
        <v>1</v>
      </c>
      <c r="B22" s="280">
        <v>2</v>
      </c>
      <c r="C22" s="280">
        <v>2</v>
      </c>
      <c r="D22" s="280">
        <v>3</v>
      </c>
      <c r="E22" s="280">
        <v>4</v>
      </c>
    </row>
    <row r="23" spans="1:190" s="245" customFormat="1" ht="12.75" customHeight="1" x14ac:dyDescent="0.2">
      <c r="A23" s="272" t="s">
        <v>486</v>
      </c>
      <c r="B23" s="490" t="s">
        <v>478</v>
      </c>
      <c r="C23" s="491"/>
      <c r="D23" s="491"/>
      <c r="E23" s="491"/>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row>
    <row r="24" spans="1:190" s="42" customFormat="1" ht="12" x14ac:dyDescent="0.2">
      <c r="A24" s="259">
        <v>2</v>
      </c>
      <c r="B24" s="186" t="s">
        <v>452</v>
      </c>
      <c r="C24" s="268" t="s">
        <v>453</v>
      </c>
      <c r="D24" s="186" t="s">
        <v>194</v>
      </c>
      <c r="E24" s="287">
        <v>0.56099999999999994</v>
      </c>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c r="CC24" s="249"/>
      <c r="CD24" s="249"/>
      <c r="CE24" s="249"/>
      <c r="CF24" s="249"/>
      <c r="CG24" s="249"/>
      <c r="CH24" s="249"/>
      <c r="CI24" s="249"/>
      <c r="CJ24" s="249"/>
      <c r="CK24" s="249"/>
      <c r="CL24" s="249"/>
      <c r="CM24" s="249"/>
      <c r="CN24" s="249"/>
      <c r="CO24" s="249"/>
      <c r="CP24" s="249"/>
      <c r="CQ24" s="249"/>
      <c r="CR24" s="249"/>
      <c r="CS24" s="249"/>
      <c r="CT24" s="249"/>
      <c r="CU24" s="249"/>
      <c r="CV24" s="249"/>
      <c r="CW24" s="249"/>
      <c r="CX24" s="249"/>
      <c r="CY24" s="249"/>
      <c r="CZ24" s="249"/>
      <c r="DA24" s="249"/>
      <c r="DB24" s="249"/>
      <c r="DC24" s="249"/>
      <c r="DD24" s="249"/>
      <c r="DE24" s="249"/>
      <c r="DF24" s="249"/>
      <c r="DG24" s="249"/>
      <c r="DH24" s="249"/>
      <c r="DI24" s="249"/>
      <c r="DJ24" s="249"/>
      <c r="DK24" s="249"/>
      <c r="DL24" s="249"/>
      <c r="DM24" s="249"/>
      <c r="DN24" s="249"/>
      <c r="DO24" s="249"/>
      <c r="DP24" s="249"/>
      <c r="DQ24" s="249"/>
      <c r="DR24" s="249"/>
      <c r="DS24" s="249"/>
      <c r="DT24" s="249"/>
      <c r="DU24" s="249"/>
      <c r="DV24" s="249"/>
      <c r="DW24" s="249"/>
      <c r="DX24" s="249"/>
      <c r="DY24" s="249"/>
      <c r="DZ24" s="249"/>
      <c r="EA24" s="249"/>
      <c r="EB24" s="249"/>
      <c r="EC24" s="249"/>
      <c r="ED24" s="249"/>
      <c r="EE24" s="249"/>
      <c r="EF24" s="249"/>
      <c r="EG24" s="249"/>
      <c r="EH24" s="249"/>
      <c r="EI24" s="249"/>
      <c r="EJ24" s="249"/>
      <c r="EK24" s="249"/>
      <c r="EL24" s="249"/>
      <c r="EM24" s="249"/>
      <c r="EN24" s="249"/>
      <c r="EO24" s="249"/>
      <c r="EP24" s="249"/>
      <c r="EQ24" s="249"/>
      <c r="ER24" s="249"/>
      <c r="ES24" s="249"/>
      <c r="ET24" s="249"/>
      <c r="EU24" s="249"/>
      <c r="EV24" s="249"/>
      <c r="EW24" s="249"/>
      <c r="EX24" s="249"/>
      <c r="EY24" s="249"/>
      <c r="EZ24" s="249"/>
      <c r="FA24" s="249"/>
      <c r="FB24" s="249"/>
      <c r="FC24" s="249"/>
      <c r="FD24" s="249"/>
      <c r="FE24" s="249"/>
      <c r="FF24" s="249"/>
      <c r="FG24" s="249"/>
      <c r="FH24" s="249"/>
      <c r="FI24" s="249"/>
      <c r="FJ24" s="249"/>
      <c r="FK24" s="249"/>
      <c r="FL24" s="249"/>
      <c r="FM24" s="249"/>
      <c r="FN24" s="249"/>
      <c r="FO24" s="249"/>
      <c r="FP24" s="249"/>
      <c r="FQ24" s="249"/>
      <c r="FR24" s="249"/>
      <c r="FS24" s="249"/>
      <c r="FT24" s="249"/>
      <c r="FU24" s="249"/>
      <c r="FV24" s="249"/>
      <c r="FW24" s="249"/>
      <c r="FX24" s="249"/>
      <c r="FY24" s="249"/>
      <c r="FZ24" s="249"/>
    </row>
    <row r="25" spans="1:190" s="245" customFormat="1" x14ac:dyDescent="0.2">
      <c r="A25" s="272" t="s">
        <v>486</v>
      </c>
      <c r="B25" s="245" t="s">
        <v>479</v>
      </c>
      <c r="C25" s="273" t="s">
        <v>479</v>
      </c>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row>
    <row r="26" spans="1:190" s="42" customFormat="1" ht="24" x14ac:dyDescent="0.2">
      <c r="A26" s="259">
        <v>5</v>
      </c>
      <c r="B26" s="186" t="s">
        <v>432</v>
      </c>
      <c r="C26" s="268" t="s">
        <v>433</v>
      </c>
      <c r="D26" s="186" t="s">
        <v>194</v>
      </c>
      <c r="E26" s="287">
        <v>5.5674000000000001</v>
      </c>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c r="CC26" s="249"/>
      <c r="CD26" s="249"/>
      <c r="CE26" s="249"/>
      <c r="CF26" s="249"/>
      <c r="CG26" s="249"/>
      <c r="CH26" s="249"/>
      <c r="CI26" s="249"/>
      <c r="CJ26" s="249"/>
      <c r="CK26" s="249"/>
      <c r="CL26" s="249"/>
      <c r="CM26" s="249"/>
      <c r="CN26" s="249"/>
      <c r="CO26" s="249"/>
      <c r="CP26" s="249"/>
      <c r="CQ26" s="249"/>
      <c r="CR26" s="249"/>
      <c r="CS26" s="249"/>
      <c r="CT26" s="249"/>
      <c r="CU26" s="249"/>
      <c r="CV26" s="249"/>
      <c r="CW26" s="249"/>
      <c r="CX26" s="249"/>
      <c r="CY26" s="249"/>
      <c r="CZ26" s="249"/>
      <c r="DA26" s="249"/>
      <c r="DB26" s="249"/>
      <c r="DC26" s="249"/>
      <c r="DD26" s="249"/>
      <c r="DE26" s="249"/>
      <c r="DF26" s="249"/>
      <c r="DG26" s="249"/>
      <c r="DH26" s="249"/>
      <c r="DI26" s="249"/>
      <c r="DJ26" s="249"/>
      <c r="DK26" s="249"/>
      <c r="DL26" s="249"/>
      <c r="DM26" s="249"/>
      <c r="DN26" s="249"/>
      <c r="DO26" s="249"/>
      <c r="DP26" s="249"/>
      <c r="DQ26" s="249"/>
      <c r="DR26" s="249"/>
      <c r="DS26" s="249"/>
      <c r="DT26" s="249"/>
      <c r="DU26" s="249"/>
      <c r="DV26" s="249"/>
      <c r="DW26" s="249"/>
      <c r="DX26" s="249"/>
      <c r="DY26" s="249"/>
      <c r="DZ26" s="249"/>
      <c r="EA26" s="249"/>
      <c r="EB26" s="249"/>
      <c r="EC26" s="249"/>
      <c r="ED26" s="249"/>
      <c r="EE26" s="249"/>
      <c r="EF26" s="249"/>
      <c r="EG26" s="249"/>
      <c r="EH26" s="249"/>
      <c r="EI26" s="249"/>
      <c r="EJ26" s="249"/>
      <c r="EK26" s="249"/>
      <c r="EL26" s="249"/>
      <c r="EM26" s="249"/>
      <c r="EN26" s="249"/>
      <c r="EO26" s="249"/>
      <c r="EP26" s="249"/>
      <c r="EQ26" s="249"/>
      <c r="ER26" s="249"/>
      <c r="ES26" s="249"/>
      <c r="ET26" s="249"/>
      <c r="EU26" s="249"/>
      <c r="EV26" s="249"/>
      <c r="EW26" s="249"/>
      <c r="EX26" s="249"/>
      <c r="EY26" s="249"/>
      <c r="EZ26" s="249"/>
      <c r="FA26" s="249"/>
      <c r="FB26" s="249"/>
      <c r="FC26" s="249"/>
      <c r="FD26" s="249"/>
      <c r="FE26" s="249"/>
      <c r="FF26" s="249"/>
      <c r="FG26" s="249"/>
      <c r="FH26" s="249"/>
      <c r="FI26" s="249"/>
      <c r="FJ26" s="249"/>
      <c r="FK26" s="249"/>
      <c r="FL26" s="249"/>
      <c r="FM26" s="249"/>
      <c r="FN26" s="249"/>
      <c r="FO26" s="249"/>
      <c r="FP26" s="249"/>
      <c r="FQ26" s="249"/>
      <c r="FR26" s="249"/>
      <c r="FS26" s="249"/>
      <c r="FT26" s="249"/>
      <c r="FU26" s="249"/>
      <c r="FV26" s="249"/>
      <c r="FW26" s="249"/>
      <c r="FX26" s="249"/>
      <c r="FY26" s="249"/>
      <c r="FZ26" s="249"/>
      <c r="GA26" s="249"/>
      <c r="GB26" s="249"/>
      <c r="GC26" s="249"/>
      <c r="GD26" s="249"/>
    </row>
    <row r="27" spans="1:190" s="42" customFormat="1" ht="12" x14ac:dyDescent="0.2">
      <c r="A27" s="259">
        <v>9</v>
      </c>
      <c r="B27" s="186" t="s">
        <v>416</v>
      </c>
      <c r="C27" s="268" t="s">
        <v>417</v>
      </c>
      <c r="D27" s="186" t="s">
        <v>194</v>
      </c>
      <c r="E27" s="287">
        <v>7.9290000000000003E-3</v>
      </c>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c r="CC27" s="249"/>
      <c r="CD27" s="249"/>
      <c r="CE27" s="249"/>
      <c r="CF27" s="249"/>
      <c r="CG27" s="249"/>
      <c r="CH27" s="249"/>
      <c r="CI27" s="249"/>
      <c r="CJ27" s="249"/>
      <c r="CK27" s="249"/>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V27" s="249"/>
      <c r="DW27" s="249"/>
      <c r="DX27" s="249"/>
      <c r="DY27" s="249"/>
      <c r="DZ27" s="249"/>
      <c r="EA27" s="249"/>
      <c r="EB27" s="249"/>
      <c r="EC27" s="249"/>
      <c r="ED27" s="249"/>
      <c r="EE27" s="249"/>
      <c r="EF27" s="249"/>
      <c r="EG27" s="249"/>
      <c r="EH27" s="249"/>
      <c r="EI27" s="249"/>
      <c r="EJ27" s="249"/>
      <c r="EK27" s="249"/>
      <c r="EL27" s="249"/>
      <c r="EM27" s="249"/>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c r="FL27" s="249"/>
      <c r="FM27" s="249"/>
      <c r="FN27" s="249"/>
      <c r="FO27" s="249"/>
      <c r="FP27" s="249"/>
      <c r="FQ27" s="249"/>
      <c r="FR27" s="249"/>
      <c r="FS27" s="249"/>
      <c r="FT27" s="249"/>
      <c r="FU27" s="249"/>
      <c r="FV27" s="249"/>
      <c r="FW27" s="249"/>
      <c r="FX27" s="249"/>
      <c r="FY27" s="249"/>
      <c r="FZ27" s="249"/>
      <c r="GA27" s="249"/>
      <c r="GB27" s="249"/>
      <c r="GC27" s="249"/>
      <c r="GD27" s="249"/>
    </row>
    <row r="28" spans="1:190" s="42" customFormat="1" ht="12" x14ac:dyDescent="0.2">
      <c r="A28" s="259">
        <v>24</v>
      </c>
      <c r="B28" s="186" t="s">
        <v>500</v>
      </c>
      <c r="C28" s="268" t="s">
        <v>501</v>
      </c>
      <c r="D28" s="186" t="s">
        <v>418</v>
      </c>
      <c r="E28" s="287">
        <v>5.1400000000000003E-4</v>
      </c>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T28" s="249"/>
      <c r="FU28" s="249"/>
      <c r="FV28" s="249"/>
      <c r="FW28" s="249"/>
      <c r="FX28" s="249"/>
      <c r="FY28" s="249"/>
      <c r="FZ28" s="249"/>
      <c r="GA28" s="249"/>
      <c r="GB28" s="249"/>
      <c r="GC28" s="249"/>
      <c r="GD28" s="249"/>
    </row>
    <row r="29" spans="1:190" s="275" customFormat="1" x14ac:dyDescent="0.2">
      <c r="A29" s="272" t="s">
        <v>486</v>
      </c>
      <c r="B29" s="274"/>
      <c r="C29" s="494" t="s">
        <v>480</v>
      </c>
      <c r="D29" s="495"/>
      <c r="E29" s="496"/>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row>
    <row r="30" spans="1:190" s="42" customFormat="1" ht="48" x14ac:dyDescent="0.2">
      <c r="A30" s="259">
        <v>1</v>
      </c>
      <c r="B30" s="186" t="s">
        <v>440</v>
      </c>
      <c r="C30" s="268" t="s">
        <v>441</v>
      </c>
      <c r="D30" s="186" t="s">
        <v>418</v>
      </c>
      <c r="E30" s="287">
        <v>1456.2178799999999</v>
      </c>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c r="FL30" s="249"/>
      <c r="FM30" s="249"/>
      <c r="FN30" s="249"/>
      <c r="FO30" s="249"/>
      <c r="FP30" s="249"/>
      <c r="FQ30" s="249"/>
      <c r="FR30" s="249"/>
      <c r="FS30" s="249"/>
      <c r="FT30" s="249"/>
      <c r="FU30" s="249"/>
      <c r="FV30" s="249"/>
      <c r="FW30" s="249"/>
      <c r="FX30" s="249"/>
      <c r="FY30" s="249"/>
      <c r="FZ30" s="249"/>
      <c r="GA30" s="249"/>
      <c r="GB30" s="249"/>
      <c r="GC30" s="249"/>
      <c r="GD30" s="249"/>
      <c r="GE30" s="249"/>
      <c r="GF30" s="249"/>
      <c r="GG30" s="249"/>
      <c r="GH30" s="249"/>
    </row>
    <row r="31" spans="1:190" s="42" customFormat="1" ht="24" x14ac:dyDescent="0.2">
      <c r="A31" s="259">
        <v>2</v>
      </c>
      <c r="B31" s="186" t="s">
        <v>442</v>
      </c>
      <c r="C31" s="268" t="s">
        <v>443</v>
      </c>
      <c r="D31" s="186" t="s">
        <v>194</v>
      </c>
      <c r="E31" s="287">
        <v>33.747999999999998</v>
      </c>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T31" s="249"/>
      <c r="FU31" s="249"/>
      <c r="FV31" s="249"/>
      <c r="FW31" s="249"/>
      <c r="FX31" s="249"/>
      <c r="FY31" s="249"/>
      <c r="FZ31" s="249"/>
      <c r="GA31" s="249"/>
      <c r="GB31" s="249"/>
      <c r="GC31" s="249"/>
      <c r="GD31" s="249"/>
      <c r="GE31" s="249"/>
      <c r="GF31" s="249"/>
      <c r="GG31" s="249"/>
      <c r="GH31" s="249"/>
    </row>
    <row r="32" spans="1:190" s="42" customFormat="1" ht="12" x14ac:dyDescent="0.2">
      <c r="A32" s="259">
        <v>3</v>
      </c>
      <c r="B32" s="186" t="s">
        <v>444</v>
      </c>
      <c r="C32" s="268" t="s">
        <v>445</v>
      </c>
      <c r="D32" s="186" t="s">
        <v>418</v>
      </c>
      <c r="E32" s="287">
        <v>2.5985870000000002</v>
      </c>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c r="FL32" s="249"/>
      <c r="FM32" s="249"/>
      <c r="FN32" s="249"/>
      <c r="FO32" s="249"/>
      <c r="FP32" s="249"/>
      <c r="FQ32" s="249"/>
      <c r="FR32" s="249"/>
      <c r="FS32" s="249"/>
      <c r="FT32" s="249"/>
      <c r="FU32" s="249"/>
      <c r="FV32" s="249"/>
      <c r="FW32" s="249"/>
      <c r="FX32" s="249"/>
      <c r="FY32" s="249"/>
      <c r="FZ32" s="249"/>
      <c r="GA32" s="249"/>
      <c r="GB32" s="249"/>
      <c r="GC32" s="249"/>
      <c r="GD32" s="249"/>
      <c r="GE32" s="249"/>
      <c r="GF32" s="249"/>
      <c r="GG32" s="249"/>
      <c r="GH32" s="249"/>
    </row>
    <row r="33" spans="1:194" s="42" customFormat="1" ht="24" x14ac:dyDescent="0.2">
      <c r="A33" s="259">
        <v>4</v>
      </c>
      <c r="B33" s="186" t="s">
        <v>502</v>
      </c>
      <c r="C33" s="268" t="s">
        <v>503</v>
      </c>
      <c r="D33" s="186" t="s">
        <v>418</v>
      </c>
      <c r="E33" s="287">
        <v>0.16550299999999998</v>
      </c>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c r="GF33" s="249"/>
      <c r="GG33" s="249"/>
      <c r="GH33" s="249"/>
    </row>
    <row r="34" spans="1:194" s="42" customFormat="1" ht="12" x14ac:dyDescent="0.2">
      <c r="A34" s="259">
        <v>5</v>
      </c>
      <c r="B34" s="186" t="s">
        <v>446</v>
      </c>
      <c r="C34" s="268" t="s">
        <v>447</v>
      </c>
      <c r="D34" s="186" t="s">
        <v>435</v>
      </c>
      <c r="E34" s="287">
        <v>572</v>
      </c>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c r="EB34" s="249"/>
      <c r="EC34" s="249"/>
      <c r="ED34" s="249"/>
      <c r="EE34" s="249"/>
      <c r="EF34" s="249"/>
      <c r="EG34" s="249"/>
      <c r="EH34" s="249"/>
      <c r="EI34" s="249"/>
      <c r="EJ34" s="249"/>
      <c r="EK34" s="249"/>
      <c r="EL34" s="249"/>
      <c r="EM34" s="249"/>
      <c r="EN34" s="249"/>
      <c r="EO34" s="249"/>
      <c r="EP34" s="249"/>
      <c r="EQ34" s="249"/>
      <c r="ER34" s="249"/>
      <c r="ES34" s="249"/>
      <c r="ET34" s="249"/>
      <c r="EU34" s="249"/>
      <c r="EV34" s="249"/>
      <c r="EW34" s="249"/>
      <c r="EX34" s="249"/>
      <c r="EY34" s="249"/>
      <c r="EZ34" s="249"/>
      <c r="FA34" s="249"/>
      <c r="FB34" s="249"/>
      <c r="FC34" s="249"/>
      <c r="FD34" s="249"/>
      <c r="FE34" s="249"/>
      <c r="FF34" s="249"/>
      <c r="FG34" s="249"/>
      <c r="FH34" s="249"/>
      <c r="FI34" s="249"/>
      <c r="FJ34" s="249"/>
      <c r="FK34" s="249"/>
      <c r="FL34" s="249"/>
      <c r="FM34" s="249"/>
      <c r="FN34" s="249"/>
      <c r="FO34" s="249"/>
      <c r="FP34" s="249"/>
      <c r="FQ34" s="249"/>
      <c r="FR34" s="249"/>
      <c r="FS34" s="249"/>
      <c r="FT34" s="249"/>
      <c r="FU34" s="249"/>
      <c r="FV34" s="249"/>
      <c r="FW34" s="249"/>
      <c r="FX34" s="249"/>
      <c r="FY34" s="249"/>
      <c r="FZ34" s="249"/>
      <c r="GA34" s="249"/>
      <c r="GB34" s="249"/>
      <c r="GC34" s="249"/>
      <c r="GD34" s="249"/>
      <c r="GE34" s="249"/>
      <c r="GF34" s="249"/>
      <c r="GG34" s="249"/>
      <c r="GH34" s="249"/>
    </row>
    <row r="35" spans="1:194" s="42" customFormat="1" ht="24" x14ac:dyDescent="0.2">
      <c r="A35" s="259">
        <v>6</v>
      </c>
      <c r="B35" s="186" t="s">
        <v>448</v>
      </c>
      <c r="C35" s="268" t="s">
        <v>449</v>
      </c>
      <c r="D35" s="186" t="s">
        <v>194</v>
      </c>
      <c r="E35" s="287">
        <v>1.5137400000000001</v>
      </c>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c r="FL35" s="249"/>
      <c r="FM35" s="249"/>
      <c r="FN35" s="249"/>
      <c r="FO35" s="249"/>
      <c r="FP35" s="249"/>
      <c r="FQ35" s="249"/>
      <c r="FR35" s="249"/>
      <c r="FS35" s="249"/>
      <c r="FT35" s="249"/>
      <c r="FU35" s="249"/>
      <c r="FV35" s="249"/>
      <c r="FW35" s="249"/>
      <c r="FX35" s="249"/>
      <c r="FY35" s="249"/>
      <c r="FZ35" s="249"/>
      <c r="GA35" s="249"/>
      <c r="GB35" s="249"/>
      <c r="GC35" s="249"/>
      <c r="GD35" s="249"/>
      <c r="GE35" s="249"/>
      <c r="GF35" s="249"/>
      <c r="GG35" s="249"/>
      <c r="GH35" s="249"/>
    </row>
    <row r="36" spans="1:194" s="42" customFormat="1" ht="24" x14ac:dyDescent="0.2">
      <c r="A36" s="259">
        <v>7</v>
      </c>
      <c r="B36" s="186" t="s">
        <v>450</v>
      </c>
      <c r="C36" s="268" t="s">
        <v>451</v>
      </c>
      <c r="D36" s="186" t="s">
        <v>194</v>
      </c>
      <c r="E36" s="287">
        <v>0.97240000000000004</v>
      </c>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c r="GF36" s="249"/>
      <c r="GG36" s="249"/>
      <c r="GH36" s="249"/>
    </row>
    <row r="37" spans="1:194" s="42" customFormat="1" ht="12" x14ac:dyDescent="0.2">
      <c r="A37" s="259">
        <v>8</v>
      </c>
      <c r="B37" s="186" t="s">
        <v>416</v>
      </c>
      <c r="C37" s="268" t="s">
        <v>417</v>
      </c>
      <c r="D37" s="186" t="s">
        <v>194</v>
      </c>
      <c r="E37" s="287">
        <v>244.18</v>
      </c>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c r="FL37" s="249"/>
      <c r="FM37" s="249"/>
      <c r="FN37" s="249"/>
      <c r="FO37" s="249"/>
      <c r="FP37" s="249"/>
      <c r="FQ37" s="249"/>
      <c r="FR37" s="249"/>
      <c r="FS37" s="249"/>
      <c r="FT37" s="249"/>
      <c r="FU37" s="249"/>
      <c r="FV37" s="249"/>
      <c r="FW37" s="249"/>
      <c r="FX37" s="249"/>
      <c r="FY37" s="249"/>
      <c r="FZ37" s="249"/>
      <c r="GA37" s="249"/>
      <c r="GB37" s="249"/>
      <c r="GC37" s="249"/>
      <c r="GD37" s="249"/>
      <c r="GE37" s="249"/>
      <c r="GF37" s="249"/>
      <c r="GG37" s="249"/>
      <c r="GH37" s="249"/>
    </row>
    <row r="38" spans="1:194" s="42" customFormat="1" ht="12" x14ac:dyDescent="0.2">
      <c r="A38" s="259">
        <v>9</v>
      </c>
      <c r="B38" s="186" t="s">
        <v>439</v>
      </c>
      <c r="C38" s="268" t="s">
        <v>419</v>
      </c>
      <c r="D38" s="186" t="s">
        <v>418</v>
      </c>
      <c r="E38" s="287">
        <v>5.7200000000000003E-3</v>
      </c>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c r="FJ38" s="249"/>
      <c r="FK38" s="249"/>
      <c r="FL38" s="249"/>
      <c r="FM38" s="249"/>
      <c r="FN38" s="249"/>
      <c r="FO38" s="249"/>
      <c r="FP38" s="249"/>
      <c r="FQ38" s="249"/>
      <c r="FR38" s="249"/>
      <c r="FS38" s="249"/>
      <c r="FT38" s="249"/>
      <c r="FU38" s="249"/>
      <c r="FV38" s="249"/>
      <c r="FW38" s="249"/>
      <c r="FX38" s="249"/>
      <c r="FY38" s="249"/>
      <c r="FZ38" s="249"/>
      <c r="GA38" s="249"/>
      <c r="GB38" s="249"/>
      <c r="GC38" s="249"/>
      <c r="GD38" s="249"/>
      <c r="GE38" s="249"/>
      <c r="GF38" s="249"/>
      <c r="GG38" s="249"/>
      <c r="GH38" s="249"/>
    </row>
    <row r="39" spans="1:194" s="42" customFormat="1" ht="12" x14ac:dyDescent="0.2">
      <c r="A39" s="259">
        <v>10</v>
      </c>
      <c r="B39" s="186" t="s">
        <v>504</v>
      </c>
      <c r="C39" s="268" t="s">
        <v>505</v>
      </c>
      <c r="D39" s="186" t="s">
        <v>415</v>
      </c>
      <c r="E39" s="287">
        <v>5298.09</v>
      </c>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c r="CG39" s="249"/>
      <c r="CH39" s="249"/>
      <c r="CI39" s="249"/>
      <c r="CJ39" s="249"/>
      <c r="CK39" s="249"/>
      <c r="CL39" s="249"/>
      <c r="CM39" s="249"/>
      <c r="CN39" s="249"/>
      <c r="CO39" s="249"/>
      <c r="CP39" s="249"/>
      <c r="CQ39" s="249"/>
      <c r="CR39" s="249"/>
      <c r="CS39" s="249"/>
      <c r="CT39" s="249"/>
      <c r="CU39" s="249"/>
      <c r="CV39" s="249"/>
      <c r="CW39" s="249"/>
      <c r="CX39" s="249"/>
      <c r="CY39" s="249"/>
      <c r="CZ39" s="249"/>
      <c r="DA39" s="249"/>
      <c r="DB39" s="249"/>
      <c r="DC39" s="249"/>
      <c r="DD39" s="249"/>
      <c r="DE39" s="249"/>
      <c r="DF39" s="249"/>
      <c r="DG39" s="249"/>
      <c r="DH39" s="249"/>
      <c r="DI39" s="249"/>
      <c r="DJ39" s="249"/>
      <c r="DK39" s="249"/>
      <c r="DL39" s="249"/>
      <c r="DM39" s="249"/>
      <c r="DN39" s="249"/>
      <c r="DO39" s="249"/>
      <c r="DP39" s="249"/>
      <c r="DQ39" s="249"/>
      <c r="DR39" s="249"/>
      <c r="DS39" s="249"/>
      <c r="DT39" s="249"/>
      <c r="DU39" s="249"/>
      <c r="DV39" s="249"/>
      <c r="DW39" s="249"/>
      <c r="DX39" s="249"/>
      <c r="DY39" s="249"/>
      <c r="DZ39" s="249"/>
      <c r="EA39" s="249"/>
      <c r="EB39" s="249"/>
      <c r="EC39" s="249"/>
      <c r="ED39" s="249"/>
      <c r="EE39" s="249"/>
      <c r="EF39" s="249"/>
      <c r="EG39" s="249"/>
      <c r="EH39" s="249"/>
      <c r="EI39" s="249"/>
      <c r="EJ39" s="249"/>
      <c r="EK39" s="249"/>
      <c r="EL39" s="249"/>
      <c r="EM39" s="249"/>
      <c r="EN39" s="249"/>
      <c r="EO39" s="249"/>
      <c r="EP39" s="249"/>
      <c r="EQ39" s="249"/>
      <c r="ER39" s="249"/>
      <c r="ES39" s="249"/>
      <c r="ET39" s="249"/>
      <c r="EU39" s="249"/>
      <c r="EV39" s="249"/>
      <c r="EW39" s="249"/>
      <c r="EX39" s="249"/>
      <c r="EY39" s="249"/>
      <c r="EZ39" s="249"/>
      <c r="FA39" s="249"/>
      <c r="FB39" s="249"/>
      <c r="FC39" s="249"/>
      <c r="FD39" s="249"/>
      <c r="FE39" s="249"/>
      <c r="FF39" s="249"/>
      <c r="FG39" s="249"/>
      <c r="FH39" s="249"/>
      <c r="FI39" s="249"/>
      <c r="FJ39" s="249"/>
      <c r="FK39" s="249"/>
      <c r="FL39" s="249"/>
      <c r="FM39" s="249"/>
      <c r="FN39" s="249"/>
      <c r="FO39" s="249"/>
      <c r="FP39" s="249"/>
      <c r="FQ39" s="249"/>
      <c r="FR39" s="249"/>
      <c r="FS39" s="249"/>
      <c r="FT39" s="249"/>
      <c r="FU39" s="249"/>
      <c r="FV39" s="249"/>
      <c r="FW39" s="249"/>
      <c r="FX39" s="249"/>
      <c r="FY39" s="249"/>
      <c r="FZ39" s="249"/>
      <c r="GA39" s="249"/>
      <c r="GB39" s="249"/>
      <c r="GC39" s="249"/>
      <c r="GD39" s="249"/>
      <c r="GE39" s="249"/>
      <c r="GF39" s="249"/>
      <c r="GG39" s="249"/>
      <c r="GH39" s="249"/>
    </row>
    <row r="40" spans="1:194" s="42" customFormat="1" ht="12" x14ac:dyDescent="0.2">
      <c r="A40" s="259">
        <v>11</v>
      </c>
      <c r="B40" s="186" t="s">
        <v>456</v>
      </c>
      <c r="C40" s="268" t="s">
        <v>506</v>
      </c>
      <c r="D40" s="186" t="s">
        <v>418</v>
      </c>
      <c r="E40" s="287">
        <v>9.6096000000000001E-2</v>
      </c>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9"/>
      <c r="DJ40" s="249"/>
      <c r="DK40" s="249"/>
      <c r="DL40" s="249"/>
      <c r="DM40" s="249"/>
      <c r="DN40" s="249"/>
      <c r="DO40" s="249"/>
      <c r="DP40" s="249"/>
      <c r="DQ40" s="249"/>
      <c r="DR40" s="249"/>
      <c r="DS40" s="249"/>
      <c r="DT40" s="249"/>
      <c r="DU40" s="249"/>
      <c r="DV40" s="249"/>
      <c r="DW40" s="249"/>
      <c r="DX40" s="249"/>
      <c r="DY40" s="249"/>
      <c r="DZ40" s="249"/>
      <c r="EA40" s="249"/>
      <c r="EB40" s="249"/>
      <c r="EC40" s="249"/>
      <c r="ED40" s="249"/>
      <c r="EE40" s="249"/>
      <c r="EF40" s="249"/>
      <c r="EG40" s="249"/>
      <c r="EH40" s="249"/>
      <c r="EI40" s="249"/>
      <c r="EJ40" s="249"/>
      <c r="EK40" s="249"/>
      <c r="EL40" s="249"/>
      <c r="EM40" s="249"/>
      <c r="EN40" s="249"/>
      <c r="EO40" s="249"/>
      <c r="EP40" s="249"/>
      <c r="EQ40" s="249"/>
      <c r="ER40" s="249"/>
      <c r="ES40" s="249"/>
      <c r="ET40" s="249"/>
      <c r="EU40" s="249"/>
      <c r="EV40" s="249"/>
      <c r="EW40" s="249"/>
      <c r="EX40" s="249"/>
      <c r="EY40" s="249"/>
      <c r="EZ40" s="249"/>
      <c r="FA40" s="249"/>
      <c r="FB40" s="249"/>
      <c r="FC40" s="249"/>
      <c r="FD40" s="249"/>
      <c r="FE40" s="249"/>
      <c r="FF40" s="249"/>
      <c r="FG40" s="249"/>
      <c r="FH40" s="249"/>
      <c r="FI40" s="249"/>
      <c r="FJ40" s="249"/>
      <c r="FK40" s="249"/>
      <c r="FL40" s="249"/>
      <c r="FM40" s="249"/>
      <c r="FN40" s="249"/>
      <c r="FO40" s="249"/>
      <c r="FP40" s="249"/>
      <c r="FQ40" s="249"/>
      <c r="FR40" s="249"/>
      <c r="FS40" s="249"/>
      <c r="FT40" s="249"/>
      <c r="FU40" s="249"/>
      <c r="FV40" s="249"/>
      <c r="FW40" s="249"/>
      <c r="FX40" s="249"/>
      <c r="FY40" s="249"/>
      <c r="FZ40" s="249"/>
      <c r="GA40" s="249"/>
      <c r="GB40" s="249"/>
      <c r="GC40" s="249"/>
      <c r="GD40" s="249"/>
      <c r="GE40" s="249"/>
      <c r="GF40" s="249"/>
      <c r="GG40" s="249"/>
      <c r="GH40" s="249"/>
    </row>
    <row r="41" spans="1:194" s="42" customFormat="1" ht="24" x14ac:dyDescent="0.2">
      <c r="A41" s="259">
        <v>12</v>
      </c>
      <c r="B41" s="186" t="s">
        <v>507</v>
      </c>
      <c r="C41" s="268" t="s">
        <v>508</v>
      </c>
      <c r="D41" s="186" t="s">
        <v>194</v>
      </c>
      <c r="E41" s="287">
        <v>2041.732</v>
      </c>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249"/>
      <c r="EQ41" s="249"/>
      <c r="ER41" s="249"/>
      <c r="ES41" s="249"/>
      <c r="ET41" s="249"/>
      <c r="EU41" s="249"/>
      <c r="EV41" s="249"/>
      <c r="EW41" s="249"/>
      <c r="EX41" s="249"/>
      <c r="EY41" s="249"/>
      <c r="EZ41" s="249"/>
      <c r="FA41" s="249"/>
      <c r="FB41" s="249"/>
      <c r="FC41" s="249"/>
      <c r="FD41" s="249"/>
      <c r="FE41" s="249"/>
      <c r="FF41" s="249"/>
      <c r="FG41" s="249"/>
      <c r="FH41" s="249"/>
      <c r="FI41" s="249"/>
      <c r="FJ41" s="249"/>
      <c r="FK41" s="249"/>
      <c r="FL41" s="249"/>
      <c r="FM41" s="249"/>
      <c r="FN41" s="249"/>
      <c r="FO41" s="249"/>
      <c r="FP41" s="249"/>
      <c r="FQ41" s="249"/>
      <c r="FR41" s="249"/>
      <c r="FS41" s="249"/>
      <c r="FT41" s="249"/>
      <c r="FU41" s="249"/>
      <c r="FV41" s="249"/>
      <c r="FW41" s="249"/>
      <c r="FX41" s="249"/>
      <c r="FY41" s="249"/>
      <c r="FZ41" s="249"/>
      <c r="GA41" s="249"/>
      <c r="GB41" s="249"/>
      <c r="GC41" s="249"/>
      <c r="GD41" s="249"/>
      <c r="GE41" s="249"/>
      <c r="GF41" s="249"/>
      <c r="GG41" s="249"/>
      <c r="GH41" s="249"/>
    </row>
    <row r="42" spans="1:194" s="42" customFormat="1" ht="12" x14ac:dyDescent="0.2">
      <c r="A42" s="259">
        <v>13</v>
      </c>
      <c r="B42" s="186" t="s">
        <v>452</v>
      </c>
      <c r="C42" s="268" t="s">
        <v>453</v>
      </c>
      <c r="D42" s="186" t="s">
        <v>194</v>
      </c>
      <c r="E42" s="287">
        <v>0.34320000000000001</v>
      </c>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c r="CW42" s="249"/>
      <c r="CX42" s="249"/>
      <c r="CY42" s="249"/>
      <c r="CZ42" s="249"/>
      <c r="DA42" s="249"/>
      <c r="DB42" s="249"/>
      <c r="DC42" s="249"/>
      <c r="DD42" s="249"/>
      <c r="DE42" s="249"/>
      <c r="DF42" s="249"/>
      <c r="DG42" s="249"/>
      <c r="DH42" s="249"/>
      <c r="DI42" s="249"/>
      <c r="DJ42" s="249"/>
      <c r="DK42" s="249"/>
      <c r="DL42" s="249"/>
      <c r="DM42" s="249"/>
      <c r="DN42" s="249"/>
      <c r="DO42" s="249"/>
      <c r="DP42" s="249"/>
      <c r="DQ42" s="249"/>
      <c r="DR42" s="249"/>
      <c r="DS42" s="249"/>
      <c r="DT42" s="249"/>
      <c r="DU42" s="249"/>
      <c r="DV42" s="249"/>
      <c r="DW42" s="249"/>
      <c r="DX42" s="249"/>
      <c r="DY42" s="249"/>
      <c r="DZ42" s="249"/>
      <c r="EA42" s="249"/>
      <c r="EB42" s="249"/>
      <c r="EC42" s="249"/>
      <c r="ED42" s="249"/>
      <c r="EE42" s="249"/>
      <c r="EF42" s="249"/>
      <c r="EG42" s="249"/>
      <c r="EH42" s="249"/>
      <c r="EI42" s="249"/>
      <c r="EJ42" s="249"/>
      <c r="EK42" s="249"/>
      <c r="EL42" s="249"/>
      <c r="EM42" s="249"/>
      <c r="EN42" s="249"/>
      <c r="EO42" s="249"/>
      <c r="EP42" s="249"/>
      <c r="EQ42" s="249"/>
      <c r="ER42" s="249"/>
      <c r="ES42" s="249"/>
      <c r="ET42" s="249"/>
      <c r="EU42" s="249"/>
      <c r="EV42" s="249"/>
      <c r="EW42" s="249"/>
      <c r="EX42" s="249"/>
      <c r="EY42" s="249"/>
      <c r="EZ42" s="249"/>
      <c r="FA42" s="249"/>
      <c r="FB42" s="249"/>
      <c r="FC42" s="249"/>
      <c r="FD42" s="249"/>
      <c r="FE42" s="249"/>
      <c r="FF42" s="249"/>
      <c r="FG42" s="249"/>
      <c r="FH42" s="249"/>
      <c r="FI42" s="249"/>
      <c r="FJ42" s="249"/>
      <c r="FK42" s="249"/>
      <c r="FL42" s="249"/>
      <c r="FM42" s="249"/>
      <c r="FN42" s="249"/>
      <c r="FO42" s="249"/>
      <c r="FP42" s="249"/>
      <c r="FQ42" s="249"/>
      <c r="FR42" s="249"/>
      <c r="FS42" s="249"/>
      <c r="FT42" s="249"/>
      <c r="FU42" s="249"/>
      <c r="FV42" s="249"/>
      <c r="FW42" s="249"/>
      <c r="FX42" s="249"/>
      <c r="FY42" s="249"/>
      <c r="FZ42" s="249"/>
      <c r="GA42" s="249"/>
      <c r="GB42" s="249"/>
      <c r="GC42" s="249"/>
      <c r="GD42" s="249"/>
      <c r="GE42" s="249"/>
      <c r="GF42" s="249"/>
      <c r="GG42" s="249"/>
      <c r="GH42" s="249"/>
    </row>
    <row r="43" spans="1:194" s="42" customFormat="1" ht="12" x14ac:dyDescent="0.2">
      <c r="A43" s="259">
        <v>14</v>
      </c>
      <c r="B43" s="186" t="s">
        <v>454</v>
      </c>
      <c r="C43" s="268" t="s">
        <v>455</v>
      </c>
      <c r="D43" s="186" t="s">
        <v>418</v>
      </c>
      <c r="E43" s="287">
        <v>4.5800000000000002E-4</v>
      </c>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c r="BU43" s="249"/>
      <c r="BV43" s="249"/>
      <c r="BW43" s="249"/>
      <c r="BX43" s="249"/>
      <c r="BY43" s="249"/>
      <c r="BZ43" s="249"/>
      <c r="CA43" s="249"/>
      <c r="CB43" s="249"/>
      <c r="CC43" s="249"/>
      <c r="CD43" s="249"/>
      <c r="CE43" s="249"/>
      <c r="CF43" s="249"/>
      <c r="CG43" s="249"/>
      <c r="CH43" s="249"/>
      <c r="CI43" s="249"/>
      <c r="CJ43" s="249"/>
      <c r="CK43" s="249"/>
      <c r="CL43" s="249"/>
      <c r="CM43" s="249"/>
      <c r="CN43" s="249"/>
      <c r="CO43" s="249"/>
      <c r="CP43" s="249"/>
      <c r="CQ43" s="249"/>
      <c r="CR43" s="249"/>
      <c r="CS43" s="249"/>
      <c r="CT43" s="249"/>
      <c r="CU43" s="249"/>
      <c r="CV43" s="249"/>
      <c r="CW43" s="249"/>
      <c r="CX43" s="249"/>
      <c r="CY43" s="249"/>
      <c r="CZ43" s="249"/>
      <c r="DA43" s="249"/>
      <c r="DB43" s="249"/>
      <c r="DC43" s="249"/>
      <c r="DD43" s="249"/>
      <c r="DE43" s="249"/>
      <c r="DF43" s="249"/>
      <c r="DG43" s="249"/>
      <c r="DH43" s="249"/>
      <c r="DI43" s="249"/>
      <c r="DJ43" s="249"/>
      <c r="DK43" s="249"/>
      <c r="DL43" s="249"/>
      <c r="DM43" s="249"/>
      <c r="DN43" s="249"/>
      <c r="DO43" s="249"/>
      <c r="DP43" s="249"/>
      <c r="DQ43" s="249"/>
      <c r="DR43" s="249"/>
      <c r="DS43" s="249"/>
      <c r="DT43" s="249"/>
      <c r="DU43" s="249"/>
      <c r="DV43" s="249"/>
      <c r="DW43" s="249"/>
      <c r="DX43" s="249"/>
      <c r="DY43" s="249"/>
      <c r="DZ43" s="249"/>
      <c r="EA43" s="249"/>
      <c r="EB43" s="249"/>
      <c r="EC43" s="249"/>
      <c r="ED43" s="249"/>
      <c r="EE43" s="249"/>
      <c r="EF43" s="249"/>
      <c r="EG43" s="249"/>
      <c r="EH43" s="249"/>
      <c r="EI43" s="249"/>
      <c r="EJ43" s="249"/>
      <c r="EK43" s="249"/>
      <c r="EL43" s="249"/>
      <c r="EM43" s="249"/>
      <c r="EN43" s="249"/>
      <c r="EO43" s="249"/>
      <c r="EP43" s="249"/>
      <c r="EQ43" s="249"/>
      <c r="ER43" s="249"/>
      <c r="ES43" s="249"/>
      <c r="ET43" s="249"/>
      <c r="EU43" s="249"/>
      <c r="EV43" s="249"/>
      <c r="EW43" s="249"/>
      <c r="EX43" s="249"/>
      <c r="EY43" s="249"/>
      <c r="EZ43" s="249"/>
      <c r="FA43" s="249"/>
      <c r="FB43" s="249"/>
      <c r="FC43" s="249"/>
      <c r="FD43" s="249"/>
      <c r="FE43" s="249"/>
      <c r="FF43" s="249"/>
      <c r="FG43" s="249"/>
      <c r="FH43" s="249"/>
      <c r="FI43" s="249"/>
      <c r="FJ43" s="249"/>
      <c r="FK43" s="249"/>
      <c r="FL43" s="249"/>
      <c r="FM43" s="249"/>
      <c r="FN43" s="249"/>
      <c r="FO43" s="249"/>
      <c r="FP43" s="249"/>
      <c r="FQ43" s="249"/>
      <c r="FR43" s="249"/>
      <c r="FS43" s="249"/>
      <c r="FT43" s="249"/>
      <c r="FU43" s="249"/>
      <c r="FV43" s="249"/>
      <c r="FW43" s="249"/>
      <c r="FX43" s="249"/>
      <c r="FY43" s="249"/>
      <c r="FZ43" s="249"/>
      <c r="GA43" s="249"/>
      <c r="GB43" s="249"/>
      <c r="GC43" s="249"/>
      <c r="GD43" s="249"/>
      <c r="GE43" s="249"/>
      <c r="GF43" s="249"/>
      <c r="GG43" s="249"/>
      <c r="GH43" s="249"/>
    </row>
    <row r="44" spans="1:194" s="42" customFormat="1" ht="24" x14ac:dyDescent="0.2">
      <c r="A44" s="259">
        <v>15</v>
      </c>
      <c r="B44" s="186" t="s">
        <v>509</v>
      </c>
      <c r="C44" s="268" t="s">
        <v>510</v>
      </c>
      <c r="D44" s="186" t="s">
        <v>194</v>
      </c>
      <c r="E44" s="287">
        <v>1220.0744400000001</v>
      </c>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c r="EB44" s="249"/>
      <c r="EC44" s="249"/>
      <c r="ED44" s="249"/>
      <c r="EE44" s="249"/>
      <c r="EF44" s="249"/>
      <c r="EG44" s="249"/>
      <c r="EH44" s="249"/>
      <c r="EI44" s="249"/>
      <c r="EJ44" s="249"/>
      <c r="EK44" s="249"/>
      <c r="EL44" s="249"/>
      <c r="EM44" s="249"/>
      <c r="EN44" s="249"/>
      <c r="EO44" s="249"/>
      <c r="EP44" s="249"/>
      <c r="EQ44" s="249"/>
      <c r="ER44" s="249"/>
      <c r="ES44" s="249"/>
      <c r="ET44" s="249"/>
      <c r="EU44" s="249"/>
      <c r="EV44" s="249"/>
      <c r="EW44" s="249"/>
      <c r="EX44" s="249"/>
      <c r="EY44" s="249"/>
      <c r="EZ44" s="249"/>
      <c r="FA44" s="249"/>
      <c r="FB44" s="249"/>
      <c r="FC44" s="249"/>
      <c r="FD44" s="249"/>
      <c r="FE44" s="249"/>
      <c r="FF44" s="249"/>
      <c r="FG44" s="249"/>
      <c r="FH44" s="249"/>
      <c r="FI44" s="249"/>
      <c r="FJ44" s="249"/>
      <c r="FK44" s="249"/>
      <c r="FL44" s="249"/>
      <c r="FM44" s="249"/>
      <c r="FN44" s="249"/>
      <c r="FO44" s="249"/>
      <c r="FP44" s="249"/>
      <c r="FQ44" s="249"/>
      <c r="FR44" s="249"/>
      <c r="FS44" s="249"/>
      <c r="FT44" s="249"/>
      <c r="FU44" s="249"/>
      <c r="FV44" s="249"/>
      <c r="FW44" s="249"/>
      <c r="FX44" s="249"/>
      <c r="FY44" s="249"/>
      <c r="FZ44" s="249"/>
      <c r="GA44" s="249"/>
      <c r="GB44" s="249"/>
      <c r="GC44" s="249"/>
      <c r="GD44" s="249"/>
      <c r="GE44" s="249"/>
      <c r="GF44" s="249"/>
      <c r="GG44" s="249"/>
      <c r="GH44" s="249"/>
    </row>
    <row r="45" spans="1:194" s="245" customFormat="1" x14ac:dyDescent="0.2">
      <c r="A45" s="272" t="s">
        <v>486</v>
      </c>
      <c r="B45" s="245" t="s">
        <v>481</v>
      </c>
      <c r="C45" s="492" t="s">
        <v>511</v>
      </c>
      <c r="D45" s="493"/>
      <c r="E45" s="49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row>
    <row r="46" spans="1:194" s="42" customFormat="1" ht="24" x14ac:dyDescent="0.2">
      <c r="A46" s="259">
        <v>1</v>
      </c>
      <c r="B46" s="186" t="s">
        <v>437</v>
      </c>
      <c r="C46" s="268" t="s">
        <v>438</v>
      </c>
      <c r="D46" s="186" t="s">
        <v>194</v>
      </c>
      <c r="E46" s="287">
        <v>0.23399999999999999</v>
      </c>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c r="EB46" s="249"/>
      <c r="EC46" s="249"/>
      <c r="ED46" s="249"/>
      <c r="EE46" s="249"/>
      <c r="EF46" s="249"/>
      <c r="EG46" s="249"/>
      <c r="EH46" s="249"/>
      <c r="EI46" s="249"/>
      <c r="EJ46" s="249"/>
      <c r="EK46" s="249"/>
      <c r="EL46" s="249"/>
      <c r="EM46" s="249"/>
      <c r="EN46" s="249"/>
      <c r="EO46" s="249"/>
      <c r="EP46" s="249"/>
      <c r="EQ46" s="249"/>
      <c r="ER46" s="249"/>
      <c r="ES46" s="249"/>
      <c r="ET46" s="249"/>
      <c r="EU46" s="249"/>
      <c r="EV46" s="249"/>
      <c r="EW46" s="249"/>
      <c r="EX46" s="249"/>
      <c r="EY46" s="249"/>
      <c r="EZ46" s="249"/>
      <c r="FA46" s="249"/>
      <c r="FB46" s="249"/>
      <c r="FC46" s="249"/>
      <c r="FD46" s="249"/>
      <c r="FE46" s="249"/>
      <c r="FF46" s="249"/>
      <c r="FG46" s="249"/>
      <c r="FH46" s="249"/>
      <c r="FI46" s="249"/>
      <c r="FJ46" s="249"/>
      <c r="FK46" s="249"/>
      <c r="FL46" s="249"/>
      <c r="FM46" s="249"/>
      <c r="FN46" s="249"/>
      <c r="FO46" s="249"/>
      <c r="FP46" s="249"/>
      <c r="FQ46" s="249"/>
      <c r="FR46" s="249"/>
      <c r="FS46" s="249"/>
      <c r="FT46" s="249"/>
      <c r="FU46" s="249"/>
      <c r="FV46" s="249"/>
      <c r="FW46" s="249"/>
      <c r="FX46" s="249"/>
      <c r="FY46" s="249"/>
      <c r="FZ46" s="249"/>
      <c r="GA46" s="249"/>
      <c r="GB46" s="249"/>
      <c r="GC46" s="249"/>
      <c r="GD46" s="249"/>
      <c r="GE46" s="249"/>
      <c r="GF46" s="249"/>
      <c r="GG46" s="249"/>
      <c r="GH46" s="249"/>
      <c r="GI46" s="249"/>
      <c r="GJ46" s="249"/>
      <c r="GK46" s="249"/>
      <c r="GL46" s="249"/>
    </row>
    <row r="47" spans="1:194" s="42" customFormat="1" ht="12" x14ac:dyDescent="0.2">
      <c r="A47" s="259">
        <v>4</v>
      </c>
      <c r="B47" s="186" t="s">
        <v>515</v>
      </c>
      <c r="C47" s="268" t="s">
        <v>516</v>
      </c>
      <c r="D47" s="186" t="s">
        <v>418</v>
      </c>
      <c r="E47" s="287">
        <v>5.9681999999999999E-2</v>
      </c>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c r="EB47" s="249"/>
      <c r="EC47" s="249"/>
      <c r="ED47" s="249"/>
      <c r="EE47" s="249"/>
      <c r="EF47" s="249"/>
      <c r="EG47" s="249"/>
      <c r="EH47" s="249"/>
      <c r="EI47" s="249"/>
      <c r="EJ47" s="249"/>
      <c r="EK47" s="249"/>
      <c r="EL47" s="249"/>
      <c r="EM47" s="249"/>
      <c r="EN47" s="249"/>
      <c r="EO47" s="249"/>
      <c r="EP47" s="249"/>
      <c r="EQ47" s="249"/>
      <c r="ER47" s="249"/>
      <c r="ES47" s="249"/>
      <c r="ET47" s="249"/>
      <c r="EU47" s="249"/>
      <c r="EV47" s="249"/>
      <c r="EW47" s="249"/>
      <c r="EX47" s="249"/>
      <c r="EY47" s="249"/>
      <c r="EZ47" s="249"/>
      <c r="FA47" s="249"/>
      <c r="FB47" s="249"/>
      <c r="FC47" s="249"/>
      <c r="FD47" s="249"/>
      <c r="FE47" s="249"/>
      <c r="FF47" s="249"/>
      <c r="FG47" s="249"/>
      <c r="FH47" s="249"/>
      <c r="FI47" s="249"/>
      <c r="FJ47" s="249"/>
      <c r="FK47" s="249"/>
      <c r="FL47" s="249"/>
      <c r="FM47" s="249"/>
      <c r="FN47" s="249"/>
      <c r="FO47" s="249"/>
      <c r="FP47" s="249"/>
      <c r="FQ47" s="249"/>
      <c r="FR47" s="249"/>
      <c r="FS47" s="249"/>
      <c r="FT47" s="249"/>
      <c r="FU47" s="249"/>
      <c r="FV47" s="249"/>
      <c r="FW47" s="249"/>
      <c r="FX47" s="249"/>
      <c r="FY47" s="249"/>
      <c r="FZ47" s="249"/>
      <c r="GA47" s="249"/>
      <c r="GB47" s="249"/>
      <c r="GC47" s="249"/>
      <c r="GD47" s="249"/>
      <c r="GE47" s="249"/>
      <c r="GF47" s="249"/>
      <c r="GG47" s="249"/>
      <c r="GH47" s="249"/>
      <c r="GI47" s="249"/>
      <c r="GJ47" s="249"/>
      <c r="GK47" s="249"/>
      <c r="GL47" s="249"/>
    </row>
    <row r="48" spans="1:194" s="42" customFormat="1" ht="24" x14ac:dyDescent="0.2">
      <c r="A48" s="259">
        <v>5</v>
      </c>
      <c r="B48" s="186" t="s">
        <v>459</v>
      </c>
      <c r="C48" s="268" t="s">
        <v>517</v>
      </c>
      <c r="D48" s="186" t="s">
        <v>418</v>
      </c>
      <c r="E48" s="287">
        <v>2.3E-5</v>
      </c>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DZ48" s="249"/>
      <c r="EA48" s="249"/>
      <c r="EB48" s="249"/>
      <c r="EC48" s="249"/>
      <c r="ED48" s="249"/>
      <c r="EE48" s="249"/>
      <c r="EF48" s="249"/>
      <c r="EG48" s="249"/>
      <c r="EH48" s="249"/>
      <c r="EI48" s="249"/>
      <c r="EJ48" s="249"/>
      <c r="EK48" s="249"/>
      <c r="EL48" s="249"/>
      <c r="EM48" s="249"/>
      <c r="EN48" s="249"/>
      <c r="EO48" s="249"/>
      <c r="EP48" s="249"/>
      <c r="EQ48" s="249"/>
      <c r="ER48" s="249"/>
      <c r="ES48" s="249"/>
      <c r="ET48" s="249"/>
      <c r="EU48" s="249"/>
      <c r="EV48" s="249"/>
      <c r="EW48" s="249"/>
      <c r="EX48" s="249"/>
      <c r="EY48" s="249"/>
      <c r="EZ48" s="249"/>
      <c r="FA48" s="249"/>
      <c r="FB48" s="249"/>
      <c r="FC48" s="249"/>
      <c r="FD48" s="249"/>
      <c r="FE48" s="249"/>
      <c r="FF48" s="249"/>
      <c r="FG48" s="249"/>
      <c r="FH48" s="249"/>
      <c r="FI48" s="249"/>
      <c r="FJ48" s="249"/>
      <c r="FK48" s="249"/>
      <c r="FL48" s="249"/>
      <c r="FM48" s="249"/>
      <c r="FN48" s="249"/>
      <c r="FO48" s="249"/>
      <c r="FP48" s="249"/>
      <c r="FQ48" s="249"/>
      <c r="FR48" s="249"/>
      <c r="FS48" s="249"/>
      <c r="FT48" s="249"/>
      <c r="FU48" s="249"/>
      <c r="FV48" s="249"/>
      <c r="FW48" s="249"/>
      <c r="FX48" s="249"/>
      <c r="FY48" s="249"/>
      <c r="FZ48" s="249"/>
      <c r="GA48" s="249"/>
      <c r="GB48" s="249"/>
      <c r="GC48" s="249"/>
      <c r="GD48" s="249"/>
      <c r="GE48" s="249"/>
      <c r="GF48" s="249"/>
      <c r="GG48" s="249"/>
      <c r="GH48" s="249"/>
      <c r="GI48" s="249"/>
      <c r="GJ48" s="249"/>
      <c r="GK48" s="249"/>
      <c r="GL48" s="249"/>
    </row>
    <row r="49" spans="1:194" s="42" customFormat="1" ht="12" x14ac:dyDescent="0.2">
      <c r="A49" s="259">
        <v>8</v>
      </c>
      <c r="B49" s="186" t="s">
        <v>454</v>
      </c>
      <c r="C49" s="268" t="s">
        <v>455</v>
      </c>
      <c r="D49" s="186" t="s">
        <v>418</v>
      </c>
      <c r="E49" s="287">
        <v>9.9299999999999996E-4</v>
      </c>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row>
    <row r="50" spans="1:194" s="275" customFormat="1" x14ac:dyDescent="0.2">
      <c r="A50" s="276" t="s">
        <v>486</v>
      </c>
      <c r="C50" s="277" t="s">
        <v>482</v>
      </c>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row>
    <row r="51" spans="1:194" ht="51" x14ac:dyDescent="0.2">
      <c r="A51" s="260">
        <v>1</v>
      </c>
      <c r="B51" s="244" t="s">
        <v>440</v>
      </c>
      <c r="C51" s="269" t="s">
        <v>441</v>
      </c>
      <c r="D51" s="244" t="s">
        <v>418</v>
      </c>
      <c r="E51" s="288">
        <v>601.73099999999999</v>
      </c>
    </row>
    <row r="52" spans="1:194" ht="51" x14ac:dyDescent="0.2">
      <c r="A52" s="260">
        <v>2</v>
      </c>
      <c r="B52" s="244" t="s">
        <v>460</v>
      </c>
      <c r="C52" s="269" t="s">
        <v>461</v>
      </c>
      <c r="D52" s="244" t="s">
        <v>418</v>
      </c>
      <c r="E52" s="288">
        <v>61.457399999999993</v>
      </c>
    </row>
    <row r="53" spans="1:194" ht="25.5" x14ac:dyDescent="0.2">
      <c r="A53" s="260">
        <v>3</v>
      </c>
      <c r="B53" s="244" t="s">
        <v>442</v>
      </c>
      <c r="C53" s="269" t="s">
        <v>443</v>
      </c>
      <c r="D53" s="244" t="s">
        <v>194</v>
      </c>
      <c r="E53" s="288">
        <v>61.773000000000003</v>
      </c>
    </row>
    <row r="54" spans="1:194" x14ac:dyDescent="0.2">
      <c r="A54" s="260">
        <v>4</v>
      </c>
      <c r="B54" s="244" t="s">
        <v>444</v>
      </c>
      <c r="C54" s="269" t="s">
        <v>445</v>
      </c>
      <c r="D54" s="244" t="s">
        <v>418</v>
      </c>
      <c r="E54" s="288">
        <v>1.64577</v>
      </c>
    </row>
    <row r="55" spans="1:194" ht="25.5" x14ac:dyDescent="0.2">
      <c r="A55" s="260">
        <v>5</v>
      </c>
      <c r="B55" s="244" t="s">
        <v>502</v>
      </c>
      <c r="C55" s="269" t="s">
        <v>503</v>
      </c>
      <c r="D55" s="244" t="s">
        <v>418</v>
      </c>
      <c r="E55" s="288">
        <v>6.838799999999999E-2</v>
      </c>
    </row>
    <row r="56" spans="1:194" x14ac:dyDescent="0.2">
      <c r="A56" s="260">
        <v>6</v>
      </c>
      <c r="B56" s="244" t="s">
        <v>446</v>
      </c>
      <c r="C56" s="269" t="s">
        <v>447</v>
      </c>
      <c r="D56" s="244" t="s">
        <v>435</v>
      </c>
      <c r="E56" s="288">
        <v>531</v>
      </c>
    </row>
    <row r="57" spans="1:194" x14ac:dyDescent="0.2">
      <c r="A57" s="260">
        <v>7</v>
      </c>
      <c r="B57" s="244" t="s">
        <v>462</v>
      </c>
      <c r="C57" s="269" t="s">
        <v>463</v>
      </c>
      <c r="D57" s="244" t="s">
        <v>429</v>
      </c>
      <c r="E57" s="288">
        <v>600</v>
      </c>
    </row>
    <row r="58" spans="1:194" ht="25.5" x14ac:dyDescent="0.2">
      <c r="A58" s="260">
        <v>8</v>
      </c>
      <c r="B58" s="244" t="s">
        <v>448</v>
      </c>
      <c r="C58" s="269" t="s">
        <v>449</v>
      </c>
      <c r="D58" s="244" t="s">
        <v>194</v>
      </c>
      <c r="E58" s="288">
        <v>0.62550000000000006</v>
      </c>
    </row>
    <row r="59" spans="1:194" x14ac:dyDescent="0.2">
      <c r="A59" s="260">
        <v>9</v>
      </c>
      <c r="B59" s="244" t="s">
        <v>520</v>
      </c>
      <c r="C59" s="269" t="s">
        <v>521</v>
      </c>
      <c r="D59" s="244" t="s">
        <v>194</v>
      </c>
      <c r="E59" s="288">
        <v>1.0199999999999998</v>
      </c>
    </row>
    <row r="60" spans="1:194" ht="25.5" x14ac:dyDescent="0.2">
      <c r="A60" s="260">
        <v>10</v>
      </c>
      <c r="B60" s="244" t="s">
        <v>450</v>
      </c>
      <c r="C60" s="269" t="s">
        <v>451</v>
      </c>
      <c r="D60" s="244" t="s">
        <v>194</v>
      </c>
      <c r="E60" s="288">
        <v>0.90270000000000006</v>
      </c>
    </row>
    <row r="61" spans="1:194" x14ac:dyDescent="0.2">
      <c r="A61" s="260">
        <v>11</v>
      </c>
      <c r="B61" s="244" t="s">
        <v>416</v>
      </c>
      <c r="C61" s="269" t="s">
        <v>417</v>
      </c>
      <c r="D61" s="244" t="s">
        <v>194</v>
      </c>
      <c r="E61" s="288">
        <v>137.75412499999999</v>
      </c>
    </row>
    <row r="62" spans="1:194" x14ac:dyDescent="0.2">
      <c r="A62" s="260">
        <v>12</v>
      </c>
      <c r="B62" s="244" t="s">
        <v>439</v>
      </c>
      <c r="C62" s="269" t="s">
        <v>419</v>
      </c>
      <c r="D62" s="244" t="s">
        <v>418</v>
      </c>
      <c r="E62" s="288">
        <v>5.3099999999999996E-3</v>
      </c>
    </row>
    <row r="63" spans="1:194" x14ac:dyDescent="0.2">
      <c r="A63" s="260">
        <v>13</v>
      </c>
      <c r="B63" s="244" t="s">
        <v>522</v>
      </c>
      <c r="C63" s="269" t="s">
        <v>419</v>
      </c>
      <c r="D63" s="244" t="s">
        <v>418</v>
      </c>
      <c r="E63" s="288">
        <v>6.0000000000000001E-3</v>
      </c>
    </row>
    <row r="64" spans="1:194" x14ac:dyDescent="0.2">
      <c r="A64" s="260">
        <v>14</v>
      </c>
      <c r="B64" s="244" t="s">
        <v>504</v>
      </c>
      <c r="C64" s="269" t="s">
        <v>505</v>
      </c>
      <c r="D64" s="244" t="s">
        <v>415</v>
      </c>
      <c r="E64" s="288">
        <v>2189.25</v>
      </c>
    </row>
    <row r="65" spans="1:33" ht="25.5" x14ac:dyDescent="0.2">
      <c r="A65" s="260">
        <v>15</v>
      </c>
      <c r="B65" s="244" t="s">
        <v>464</v>
      </c>
      <c r="C65" s="269" t="s">
        <v>465</v>
      </c>
      <c r="D65" s="244" t="s">
        <v>513</v>
      </c>
      <c r="E65" s="288">
        <v>1.032</v>
      </c>
    </row>
    <row r="66" spans="1:33" x14ac:dyDescent="0.2">
      <c r="A66" s="260">
        <v>16</v>
      </c>
      <c r="B66" s="244" t="s">
        <v>456</v>
      </c>
      <c r="C66" s="269" t="s">
        <v>506</v>
      </c>
      <c r="D66" s="244" t="s">
        <v>418</v>
      </c>
      <c r="E66" s="288">
        <v>8.920800000000001E-2</v>
      </c>
    </row>
    <row r="67" spans="1:33" ht="25.5" x14ac:dyDescent="0.2">
      <c r="A67" s="260">
        <v>17</v>
      </c>
      <c r="B67" s="244" t="s">
        <v>507</v>
      </c>
      <c r="C67" s="269" t="s">
        <v>508</v>
      </c>
      <c r="D67" s="244" t="s">
        <v>194</v>
      </c>
      <c r="E67" s="288">
        <v>1029.28575</v>
      </c>
    </row>
    <row r="68" spans="1:33" x14ac:dyDescent="0.2">
      <c r="A68" s="260">
        <v>19</v>
      </c>
      <c r="B68" s="244" t="s">
        <v>452</v>
      </c>
      <c r="C68" s="269" t="s">
        <v>453</v>
      </c>
      <c r="D68" s="244" t="s">
        <v>194</v>
      </c>
      <c r="E68" s="288">
        <v>0.43740000000000001</v>
      </c>
    </row>
    <row r="69" spans="1:33" x14ac:dyDescent="0.2">
      <c r="A69" s="260">
        <v>20</v>
      </c>
      <c r="B69" s="244" t="s">
        <v>525</v>
      </c>
      <c r="C69" s="269" t="s">
        <v>526</v>
      </c>
      <c r="D69" s="244" t="s">
        <v>422</v>
      </c>
      <c r="E69" s="288">
        <v>0</v>
      </c>
    </row>
    <row r="70" spans="1:33" ht="25.5" x14ac:dyDescent="0.2">
      <c r="A70" s="260">
        <v>21</v>
      </c>
      <c r="B70" s="244" t="s">
        <v>466</v>
      </c>
      <c r="C70" s="270" t="s">
        <v>467</v>
      </c>
      <c r="D70" s="244" t="s">
        <v>194</v>
      </c>
      <c r="E70" s="288">
        <v>24.08</v>
      </c>
    </row>
    <row r="71" spans="1:33" x14ac:dyDescent="0.2">
      <c r="A71" s="261">
        <v>22</v>
      </c>
      <c r="B71" s="250" t="s">
        <v>454</v>
      </c>
      <c r="C71" s="270" t="s">
        <v>455</v>
      </c>
      <c r="D71" s="250" t="s">
        <v>418</v>
      </c>
      <c r="E71" s="289">
        <v>4.2500000000000003E-4</v>
      </c>
    </row>
    <row r="72" spans="1:33" ht="25.5" x14ac:dyDescent="0.2">
      <c r="A72" s="261">
        <v>23</v>
      </c>
      <c r="B72" s="250" t="s">
        <v>527</v>
      </c>
      <c r="C72" s="270" t="s">
        <v>528</v>
      </c>
      <c r="D72" s="250" t="s">
        <v>194</v>
      </c>
      <c r="E72" s="289">
        <v>81.27</v>
      </c>
    </row>
    <row r="73" spans="1:33" ht="25.5" x14ac:dyDescent="0.2">
      <c r="A73" s="260">
        <v>24</v>
      </c>
      <c r="B73" s="244" t="s">
        <v>509</v>
      </c>
      <c r="C73" s="270" t="s">
        <v>510</v>
      </c>
      <c r="D73" s="244" t="s">
        <v>194</v>
      </c>
      <c r="E73" s="288">
        <v>504.15300000000002</v>
      </c>
    </row>
    <row r="74" spans="1:33" ht="25.5" x14ac:dyDescent="0.2">
      <c r="A74" s="260">
        <v>25</v>
      </c>
      <c r="B74" s="244" t="s">
        <v>468</v>
      </c>
      <c r="C74" s="269" t="s">
        <v>469</v>
      </c>
      <c r="D74" s="244" t="s">
        <v>194</v>
      </c>
      <c r="E74" s="288">
        <v>73.872</v>
      </c>
    </row>
    <row r="75" spans="1:33" s="275" customFormat="1" x14ac:dyDescent="0.2">
      <c r="A75" s="278" t="s">
        <v>529</v>
      </c>
      <c r="B75" s="274"/>
      <c r="C75" s="494" t="s">
        <v>483</v>
      </c>
      <c r="D75" s="495"/>
      <c r="E75" s="496"/>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row>
    <row r="76" spans="1:33" ht="51" x14ac:dyDescent="0.2">
      <c r="A76" s="262">
        <v>1</v>
      </c>
      <c r="B76" s="251" t="s">
        <v>440</v>
      </c>
      <c r="C76" s="270" t="s">
        <v>441</v>
      </c>
      <c r="D76" s="251" t="s">
        <v>418</v>
      </c>
      <c r="E76" s="290">
        <v>26.354579999999999</v>
      </c>
    </row>
    <row r="77" spans="1:33" ht="51" x14ac:dyDescent="0.2">
      <c r="A77" s="262">
        <v>2</v>
      </c>
      <c r="B77" s="251" t="s">
        <v>460</v>
      </c>
      <c r="C77" s="270" t="s">
        <v>461</v>
      </c>
      <c r="D77" s="251" t="s">
        <v>418</v>
      </c>
      <c r="E77" s="290">
        <v>20.246199999999998</v>
      </c>
    </row>
    <row r="78" spans="1:33" ht="25.5" x14ac:dyDescent="0.2">
      <c r="A78" s="262">
        <v>3</v>
      </c>
      <c r="B78" s="251" t="s">
        <v>442</v>
      </c>
      <c r="C78" s="270" t="s">
        <v>443</v>
      </c>
      <c r="D78" s="251" t="s">
        <v>194</v>
      </c>
      <c r="E78" s="290">
        <v>60.355229999999999</v>
      </c>
    </row>
    <row r="79" spans="1:33" ht="25.5" x14ac:dyDescent="0.2">
      <c r="A79" s="262">
        <v>4</v>
      </c>
      <c r="B79" s="251" t="s">
        <v>470</v>
      </c>
      <c r="C79" s="270" t="s">
        <v>471</v>
      </c>
      <c r="D79" s="251" t="s">
        <v>194</v>
      </c>
      <c r="E79" s="290">
        <v>82.161000000000001</v>
      </c>
    </row>
    <row r="80" spans="1:33" x14ac:dyDescent="0.2">
      <c r="A80" s="262">
        <v>7</v>
      </c>
      <c r="B80" s="251" t="s">
        <v>444</v>
      </c>
      <c r="C80" s="270" t="s">
        <v>445</v>
      </c>
      <c r="D80" s="251" t="s">
        <v>418</v>
      </c>
      <c r="E80" s="290">
        <v>0.33011200000000002</v>
      </c>
    </row>
    <row r="81" spans="1:5" ht="25.5" x14ac:dyDescent="0.2">
      <c r="A81" s="262">
        <v>8</v>
      </c>
      <c r="B81" s="251" t="s">
        <v>502</v>
      </c>
      <c r="C81" s="270" t="s">
        <v>503</v>
      </c>
      <c r="D81" s="251" t="s">
        <v>418</v>
      </c>
      <c r="E81" s="290">
        <v>2.9710000000000001E-3</v>
      </c>
    </row>
    <row r="82" spans="1:5" x14ac:dyDescent="0.2">
      <c r="A82" s="262">
        <v>9</v>
      </c>
      <c r="B82" s="251" t="s">
        <v>462</v>
      </c>
      <c r="C82" s="270" t="s">
        <v>463</v>
      </c>
      <c r="D82" s="251" t="s">
        <v>429</v>
      </c>
      <c r="E82" s="290">
        <v>1116</v>
      </c>
    </row>
    <row r="83" spans="1:5" x14ac:dyDescent="0.2">
      <c r="A83" s="262">
        <v>10</v>
      </c>
      <c r="B83" s="251" t="s">
        <v>533</v>
      </c>
      <c r="C83" s="270" t="s">
        <v>534</v>
      </c>
      <c r="D83" s="251" t="s">
        <v>429</v>
      </c>
      <c r="E83" s="290">
        <v>25.000000000000004</v>
      </c>
    </row>
    <row r="84" spans="1:5" ht="25.5" x14ac:dyDescent="0.2">
      <c r="A84" s="262">
        <v>11</v>
      </c>
      <c r="B84" s="251" t="s">
        <v>448</v>
      </c>
      <c r="C84" s="270" t="s">
        <v>449</v>
      </c>
      <c r="D84" s="251" t="s">
        <v>194</v>
      </c>
      <c r="E84" s="290">
        <v>4.1000000000000002E-2</v>
      </c>
    </row>
    <row r="85" spans="1:5" x14ac:dyDescent="0.2">
      <c r="A85" s="262">
        <v>12</v>
      </c>
      <c r="B85" s="251" t="s">
        <v>520</v>
      </c>
      <c r="C85" s="270" t="s">
        <v>521</v>
      </c>
      <c r="D85" s="251" t="s">
        <v>194</v>
      </c>
      <c r="E85" s="290">
        <v>1.8971999999999998</v>
      </c>
    </row>
    <row r="86" spans="1:5" x14ac:dyDescent="0.2">
      <c r="A86" s="262">
        <v>13</v>
      </c>
      <c r="B86" s="251" t="s">
        <v>520</v>
      </c>
      <c r="C86" s="270" t="s">
        <v>521</v>
      </c>
      <c r="D86" s="251" t="s">
        <v>194</v>
      </c>
      <c r="E86" s="290">
        <v>0.12495000000000001</v>
      </c>
    </row>
    <row r="87" spans="1:5" x14ac:dyDescent="0.2">
      <c r="A87" s="262">
        <v>14</v>
      </c>
      <c r="B87" s="251" t="s">
        <v>416</v>
      </c>
      <c r="C87" s="270" t="s">
        <v>417</v>
      </c>
      <c r="D87" s="251" t="s">
        <v>194</v>
      </c>
      <c r="E87" s="290">
        <v>168.62549999999999</v>
      </c>
    </row>
    <row r="88" spans="1:5" x14ac:dyDescent="0.2">
      <c r="A88" s="262">
        <v>15</v>
      </c>
      <c r="B88" s="251" t="s">
        <v>522</v>
      </c>
      <c r="C88" s="270" t="s">
        <v>419</v>
      </c>
      <c r="D88" s="251" t="s">
        <v>418</v>
      </c>
      <c r="E88" s="290">
        <v>1.1894999999999999E-2</v>
      </c>
    </row>
    <row r="89" spans="1:5" ht="25.5" x14ac:dyDescent="0.2">
      <c r="A89" s="262">
        <v>16</v>
      </c>
      <c r="B89" s="251" t="s">
        <v>464</v>
      </c>
      <c r="C89" s="270" t="s">
        <v>465</v>
      </c>
      <c r="D89" s="251" t="s">
        <v>513</v>
      </c>
      <c r="E89" s="290">
        <v>3.6344000000000003</v>
      </c>
    </row>
    <row r="90" spans="1:5" ht="25.5" x14ac:dyDescent="0.2">
      <c r="A90" s="262">
        <v>18</v>
      </c>
      <c r="B90" s="251" t="s">
        <v>507</v>
      </c>
      <c r="C90" s="270" t="s">
        <v>508</v>
      </c>
      <c r="D90" s="251" t="s">
        <v>194</v>
      </c>
      <c r="E90" s="290">
        <v>253.636</v>
      </c>
    </row>
    <row r="91" spans="1:5" x14ac:dyDescent="0.2">
      <c r="A91" s="263">
        <v>28</v>
      </c>
      <c r="B91" s="252" t="s">
        <v>452</v>
      </c>
      <c r="C91" s="271" t="s">
        <v>453</v>
      </c>
      <c r="D91" s="252" t="s">
        <v>194</v>
      </c>
      <c r="E91" s="291">
        <v>0.23552099999999998</v>
      </c>
    </row>
    <row r="92" spans="1:5" ht="25.5" x14ac:dyDescent="0.2">
      <c r="A92" s="262">
        <v>30</v>
      </c>
      <c r="B92" s="251" t="s">
        <v>473</v>
      </c>
      <c r="C92" s="270" t="s">
        <v>474</v>
      </c>
      <c r="D92" s="251" t="s">
        <v>418</v>
      </c>
      <c r="E92" s="290">
        <v>0.78402000000000005</v>
      </c>
    </row>
    <row r="93" spans="1:5" ht="25.5" x14ac:dyDescent="0.2">
      <c r="A93" s="262">
        <v>31</v>
      </c>
      <c r="B93" s="251" t="s">
        <v>466</v>
      </c>
      <c r="C93" s="270" t="s">
        <v>467</v>
      </c>
      <c r="D93" s="251" t="s">
        <v>194</v>
      </c>
      <c r="E93" s="290">
        <v>71.972999999999999</v>
      </c>
    </row>
    <row r="94" spans="1:5" x14ac:dyDescent="0.2">
      <c r="A94" s="263">
        <v>32</v>
      </c>
      <c r="B94" s="252" t="s">
        <v>546</v>
      </c>
      <c r="C94" s="271" t="s">
        <v>547</v>
      </c>
      <c r="D94" s="252" t="s">
        <v>426</v>
      </c>
      <c r="E94" s="291">
        <v>5.907</v>
      </c>
    </row>
    <row r="95" spans="1:5" x14ac:dyDescent="0.2">
      <c r="A95" s="263">
        <v>33</v>
      </c>
      <c r="B95" s="252" t="s">
        <v>527</v>
      </c>
      <c r="C95" s="271" t="s">
        <v>548</v>
      </c>
      <c r="D95" s="252" t="s">
        <v>194</v>
      </c>
      <c r="E95" s="291">
        <v>19.709999999999997</v>
      </c>
    </row>
    <row r="96" spans="1:5" ht="25.5" x14ac:dyDescent="0.2">
      <c r="A96" s="262">
        <v>34</v>
      </c>
      <c r="B96" s="251" t="s">
        <v>475</v>
      </c>
      <c r="C96" s="270" t="s">
        <v>549</v>
      </c>
      <c r="D96" s="251" t="s">
        <v>194</v>
      </c>
      <c r="E96" s="290">
        <v>14.855399999999999</v>
      </c>
    </row>
    <row r="97" spans="1:251" ht="25.5" x14ac:dyDescent="0.2">
      <c r="A97" s="262">
        <v>35</v>
      </c>
      <c r="B97" s="251" t="s">
        <v>550</v>
      </c>
      <c r="C97" s="270" t="s">
        <v>551</v>
      </c>
      <c r="D97" s="251" t="s">
        <v>194</v>
      </c>
      <c r="E97" s="290">
        <v>39.614400000000003</v>
      </c>
    </row>
    <row r="98" spans="1:251" ht="25.5" x14ac:dyDescent="0.2">
      <c r="A98" s="262">
        <v>36</v>
      </c>
      <c r="B98" s="251" t="s">
        <v>527</v>
      </c>
      <c r="C98" s="270" t="s">
        <v>528</v>
      </c>
      <c r="D98" s="251" t="s">
        <v>194</v>
      </c>
      <c r="E98" s="290">
        <v>202.79700000000003</v>
      </c>
    </row>
    <row r="99" spans="1:251" ht="25.5" x14ac:dyDescent="0.2">
      <c r="A99" s="262">
        <v>37</v>
      </c>
      <c r="B99" s="251" t="s">
        <v>509</v>
      </c>
      <c r="C99" s="270" t="s">
        <v>510</v>
      </c>
      <c r="D99" s="251" t="s">
        <v>194</v>
      </c>
      <c r="E99" s="290">
        <v>21.167999999999999</v>
      </c>
    </row>
    <row r="100" spans="1:251" ht="25.5" x14ac:dyDescent="0.2">
      <c r="A100" s="262">
        <v>38</v>
      </c>
      <c r="B100" s="251" t="s">
        <v>468</v>
      </c>
      <c r="C100" s="270" t="s">
        <v>469</v>
      </c>
      <c r="D100" s="251" t="s">
        <v>194</v>
      </c>
      <c r="E100" s="290">
        <v>70.031999999999996</v>
      </c>
    </row>
    <row r="101" spans="1:251" x14ac:dyDescent="0.2">
      <c r="A101" s="262">
        <v>39</v>
      </c>
      <c r="B101" s="251" t="s">
        <v>420</v>
      </c>
      <c r="C101" s="270" t="s">
        <v>421</v>
      </c>
      <c r="D101" s="251" t="s">
        <v>415</v>
      </c>
      <c r="E101" s="290">
        <v>4.9672499999999999</v>
      </c>
    </row>
    <row r="102" spans="1:251" s="275" customFormat="1" x14ac:dyDescent="0.2">
      <c r="A102" s="276" t="s">
        <v>529</v>
      </c>
      <c r="C102" s="497" t="s">
        <v>484</v>
      </c>
      <c r="D102" s="497"/>
      <c r="E102" s="497"/>
      <c r="F102" s="285"/>
      <c r="G102" s="285"/>
      <c r="H102" s="285"/>
      <c r="I102" s="285"/>
      <c r="J102" s="285"/>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row>
    <row r="103" spans="1:251" x14ac:dyDescent="0.2">
      <c r="A103" s="261">
        <v>1</v>
      </c>
      <c r="B103" s="250" t="s">
        <v>437</v>
      </c>
      <c r="C103" s="271" t="s">
        <v>438</v>
      </c>
      <c r="D103" s="250" t="s">
        <v>194</v>
      </c>
      <c r="E103" s="289">
        <v>0.48470400000000002</v>
      </c>
    </row>
    <row r="104" spans="1:251" x14ac:dyDescent="0.2">
      <c r="A104" s="260">
        <v>2</v>
      </c>
      <c r="B104" s="244" t="s">
        <v>416</v>
      </c>
      <c r="C104" s="270" t="s">
        <v>417</v>
      </c>
      <c r="D104" s="244" t="s">
        <v>194</v>
      </c>
      <c r="E104" s="288">
        <v>0.95135000000000003</v>
      </c>
    </row>
    <row r="105" spans="1:251" ht="25.5" x14ac:dyDescent="0.2">
      <c r="A105" s="260">
        <v>3</v>
      </c>
      <c r="B105" s="244" t="s">
        <v>552</v>
      </c>
      <c r="C105" s="270" t="s">
        <v>553</v>
      </c>
      <c r="D105" s="244" t="s">
        <v>513</v>
      </c>
      <c r="E105" s="288">
        <v>30</v>
      </c>
    </row>
    <row r="106" spans="1:251" x14ac:dyDescent="0.2">
      <c r="A106" s="261">
        <v>4</v>
      </c>
      <c r="B106" s="250" t="s">
        <v>554</v>
      </c>
      <c r="C106" s="271" t="s">
        <v>555</v>
      </c>
      <c r="D106" s="250" t="s">
        <v>194</v>
      </c>
      <c r="E106" s="289">
        <v>19.388159999999999</v>
      </c>
    </row>
    <row r="107" spans="1:251" x14ac:dyDescent="0.2">
      <c r="A107" s="261">
        <v>5</v>
      </c>
      <c r="B107" s="250" t="s">
        <v>556</v>
      </c>
      <c r="C107" s="271" t="s">
        <v>557</v>
      </c>
      <c r="D107" s="250" t="s">
        <v>418</v>
      </c>
      <c r="E107" s="289">
        <v>2.23E-4</v>
      </c>
    </row>
    <row r="108" spans="1:251" x14ac:dyDescent="0.2">
      <c r="A108" s="483" t="s">
        <v>560</v>
      </c>
      <c r="B108" s="483"/>
      <c r="C108" s="483"/>
      <c r="D108" s="483"/>
      <c r="E108" s="483"/>
    </row>
    <row r="109" spans="1:251" s="42" customFormat="1" ht="12" x14ac:dyDescent="0.2">
      <c r="A109" s="185">
        <v>5</v>
      </c>
      <c r="B109" s="186" t="s">
        <v>416</v>
      </c>
      <c r="C109" s="186" t="s">
        <v>417</v>
      </c>
      <c r="D109" s="186" t="s">
        <v>194</v>
      </c>
      <c r="E109" s="187">
        <v>18.489999999999998</v>
      </c>
      <c r="J109" s="249"/>
      <c r="K109" s="249">
        <v>18.489999999999998</v>
      </c>
      <c r="L109" s="249">
        <v>0</v>
      </c>
      <c r="M109" s="249">
        <v>0</v>
      </c>
      <c r="N109" s="249">
        <v>0</v>
      </c>
      <c r="O109" s="249">
        <v>18.489999999999998</v>
      </c>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49"/>
      <c r="BQ109" s="249"/>
      <c r="BR109" s="249"/>
      <c r="BS109" s="249"/>
      <c r="BT109" s="249"/>
      <c r="BU109" s="249"/>
      <c r="BV109" s="249"/>
      <c r="BW109" s="249"/>
      <c r="BX109" s="249"/>
      <c r="BY109" s="249"/>
      <c r="BZ109" s="249"/>
      <c r="CA109" s="249"/>
      <c r="CB109" s="249"/>
      <c r="CC109" s="249"/>
      <c r="CD109" s="249"/>
      <c r="CE109" s="249"/>
      <c r="CF109" s="249"/>
      <c r="CG109" s="249"/>
      <c r="CH109" s="249"/>
      <c r="CI109" s="249"/>
      <c r="CJ109" s="249"/>
      <c r="CK109" s="249"/>
      <c r="CL109" s="249"/>
      <c r="CM109" s="249"/>
      <c r="CN109" s="249"/>
      <c r="CO109" s="249"/>
      <c r="CP109" s="249"/>
      <c r="CQ109" s="249"/>
      <c r="CR109" s="249"/>
      <c r="CS109" s="249"/>
      <c r="CT109" s="249"/>
      <c r="CU109" s="249"/>
      <c r="CV109" s="249"/>
      <c r="CW109" s="249"/>
      <c r="CX109" s="249"/>
      <c r="CY109" s="249"/>
      <c r="CZ109" s="249"/>
      <c r="DA109" s="249"/>
      <c r="DB109" s="249"/>
      <c r="DC109" s="249"/>
      <c r="DD109" s="249"/>
      <c r="DE109" s="249"/>
      <c r="DF109" s="249"/>
      <c r="DG109" s="249"/>
      <c r="DH109" s="249"/>
      <c r="DI109" s="249"/>
      <c r="DJ109" s="249"/>
      <c r="DK109" s="249"/>
      <c r="DL109" s="249"/>
      <c r="DM109" s="249"/>
      <c r="DN109" s="249"/>
      <c r="DO109" s="249"/>
      <c r="DP109" s="249"/>
      <c r="DQ109" s="249"/>
      <c r="DR109" s="249"/>
      <c r="DS109" s="249"/>
      <c r="DT109" s="249"/>
      <c r="DU109" s="249"/>
      <c r="DV109" s="249"/>
      <c r="DW109" s="249"/>
      <c r="DX109" s="249"/>
      <c r="DY109" s="249"/>
      <c r="DZ109" s="249"/>
      <c r="EA109" s="249"/>
      <c r="EB109" s="249"/>
      <c r="EC109" s="249"/>
      <c r="ED109" s="249"/>
      <c r="EE109" s="249"/>
      <c r="EF109" s="249"/>
      <c r="EG109" s="249"/>
      <c r="EH109" s="249"/>
      <c r="EI109" s="249"/>
      <c r="EJ109" s="249"/>
      <c r="EK109" s="249"/>
      <c r="EL109" s="249"/>
      <c r="EM109" s="249"/>
      <c r="EN109" s="249"/>
      <c r="EO109" s="249"/>
      <c r="EP109" s="249"/>
      <c r="EQ109" s="249"/>
      <c r="ER109" s="249"/>
      <c r="ES109" s="249"/>
      <c r="ET109" s="249"/>
      <c r="EU109" s="249"/>
      <c r="EV109" s="249"/>
      <c r="EW109" s="249"/>
      <c r="EX109" s="249"/>
      <c r="EY109" s="249"/>
      <c r="EZ109" s="249"/>
      <c r="FA109" s="249"/>
      <c r="FB109" s="249"/>
      <c r="FC109" s="249"/>
      <c r="FD109" s="249"/>
      <c r="FE109" s="249"/>
      <c r="FF109" s="249"/>
      <c r="FG109" s="249"/>
      <c r="FH109" s="249"/>
      <c r="FI109" s="249"/>
      <c r="FJ109" s="249"/>
      <c r="FK109" s="249"/>
      <c r="FL109" s="249"/>
      <c r="FM109" s="249"/>
      <c r="FN109" s="249"/>
      <c r="FO109" s="249"/>
      <c r="FP109" s="249"/>
      <c r="FQ109" s="249"/>
      <c r="FR109" s="249"/>
      <c r="FS109" s="249"/>
      <c r="FT109" s="249"/>
      <c r="FU109" s="249"/>
      <c r="FV109" s="249"/>
      <c r="FW109" s="249"/>
      <c r="FX109" s="249"/>
      <c r="FY109" s="249"/>
      <c r="FZ109" s="249"/>
      <c r="GA109" s="249"/>
      <c r="GB109" s="249"/>
      <c r="GC109" s="249"/>
      <c r="GD109" s="249"/>
      <c r="GE109" s="249"/>
      <c r="GF109" s="249"/>
      <c r="GG109" s="249"/>
      <c r="GH109" s="249"/>
      <c r="GI109" s="249"/>
      <c r="GJ109" s="249"/>
      <c r="GK109" s="249"/>
      <c r="GL109" s="249"/>
      <c r="GM109" s="249"/>
      <c r="GN109" s="249"/>
      <c r="GO109" s="249"/>
      <c r="GP109" s="249"/>
      <c r="GQ109" s="249"/>
      <c r="GR109" s="249"/>
      <c r="GS109" s="249"/>
      <c r="GT109" s="249"/>
      <c r="GU109" s="249"/>
      <c r="GV109" s="249"/>
      <c r="GW109" s="249"/>
      <c r="GX109" s="249"/>
      <c r="GY109" s="249"/>
      <c r="GZ109" s="249"/>
      <c r="HA109" s="249"/>
      <c r="HB109" s="249"/>
      <c r="HC109" s="249"/>
      <c r="HD109" s="249"/>
      <c r="HE109" s="249"/>
      <c r="HF109" s="249"/>
      <c r="HG109" s="249"/>
      <c r="HH109" s="249"/>
      <c r="HI109" s="249"/>
      <c r="HJ109" s="249"/>
      <c r="HK109" s="249"/>
      <c r="HL109" s="249"/>
      <c r="HM109" s="249"/>
      <c r="HN109" s="249"/>
      <c r="HO109" s="249"/>
      <c r="HP109" s="249"/>
      <c r="HQ109" s="249"/>
      <c r="HR109" s="249"/>
      <c r="HS109" s="249"/>
      <c r="HT109" s="249"/>
      <c r="HU109" s="249"/>
      <c r="HV109" s="249"/>
      <c r="HW109" s="249"/>
      <c r="HX109" s="249"/>
      <c r="HY109" s="249"/>
      <c r="HZ109" s="249"/>
      <c r="IA109" s="249"/>
      <c r="IB109" s="249"/>
      <c r="IC109" s="249"/>
      <c r="ID109" s="249"/>
      <c r="IE109" s="249"/>
      <c r="IF109" s="249"/>
      <c r="IG109" s="249"/>
      <c r="IH109" s="249"/>
      <c r="II109" s="249"/>
      <c r="IJ109" s="249"/>
      <c r="IK109" s="249"/>
      <c r="IL109" s="249"/>
      <c r="IM109" s="249"/>
      <c r="IN109" s="249"/>
      <c r="IO109" s="249"/>
      <c r="IP109" s="249"/>
      <c r="IQ109" s="249"/>
    </row>
    <row r="110" spans="1:251" s="42" customFormat="1" ht="24" x14ac:dyDescent="0.2">
      <c r="A110" s="185">
        <v>7</v>
      </c>
      <c r="B110" s="186" t="s">
        <v>563</v>
      </c>
      <c r="C110" s="186" t="s">
        <v>564</v>
      </c>
      <c r="D110" s="186" t="s">
        <v>194</v>
      </c>
      <c r="E110" s="187">
        <v>2.5885999999999999E-2</v>
      </c>
      <c r="J110" s="249"/>
      <c r="K110" s="249">
        <v>2.5885999999999999E-2</v>
      </c>
      <c r="L110" s="249">
        <v>2.5885999999999999E-2</v>
      </c>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AZ110" s="249"/>
      <c r="BA110" s="249"/>
      <c r="BB110" s="249"/>
      <c r="BC110" s="249"/>
      <c r="BD110" s="249"/>
      <c r="BE110" s="249"/>
      <c r="BF110" s="249"/>
      <c r="BG110" s="249"/>
      <c r="BH110" s="249"/>
      <c r="BI110" s="249"/>
      <c r="BJ110" s="249"/>
      <c r="BK110" s="249"/>
      <c r="BL110" s="249"/>
      <c r="BM110" s="249"/>
      <c r="BN110" s="249"/>
      <c r="BO110" s="249"/>
      <c r="BP110" s="249"/>
      <c r="BQ110" s="249"/>
      <c r="BR110" s="249"/>
      <c r="BS110" s="249"/>
      <c r="BT110" s="249"/>
      <c r="BU110" s="249"/>
      <c r="BV110" s="249"/>
      <c r="BW110" s="249"/>
      <c r="BX110" s="249"/>
      <c r="BY110" s="249"/>
      <c r="BZ110" s="249"/>
      <c r="CA110" s="249"/>
      <c r="CB110" s="249"/>
      <c r="CC110" s="249"/>
      <c r="CD110" s="249"/>
      <c r="CE110" s="249"/>
      <c r="CF110" s="249"/>
      <c r="CG110" s="249"/>
      <c r="CH110" s="249"/>
      <c r="CI110" s="249"/>
      <c r="CJ110" s="249"/>
      <c r="CK110" s="249"/>
      <c r="CL110" s="249"/>
      <c r="CM110" s="249"/>
      <c r="CN110" s="249"/>
      <c r="CO110" s="249"/>
      <c r="CP110" s="249"/>
      <c r="CQ110" s="249"/>
      <c r="CR110" s="249"/>
      <c r="CS110" s="249"/>
      <c r="CT110" s="249"/>
      <c r="CU110" s="249"/>
      <c r="CV110" s="249"/>
      <c r="CW110" s="249"/>
      <c r="CX110" s="249"/>
      <c r="CY110" s="249"/>
      <c r="CZ110" s="249"/>
      <c r="DA110" s="249"/>
      <c r="DB110" s="249"/>
      <c r="DC110" s="249"/>
      <c r="DD110" s="249"/>
      <c r="DE110" s="249"/>
      <c r="DF110" s="249"/>
      <c r="DG110" s="249"/>
      <c r="DH110" s="249"/>
      <c r="DI110" s="249"/>
      <c r="DJ110" s="249"/>
      <c r="DK110" s="249"/>
      <c r="DL110" s="249"/>
      <c r="DM110" s="249"/>
      <c r="DN110" s="249"/>
      <c r="DO110" s="249"/>
      <c r="DP110" s="249"/>
      <c r="DQ110" s="249"/>
      <c r="DR110" s="249"/>
      <c r="DS110" s="249"/>
      <c r="DT110" s="249"/>
      <c r="DU110" s="249"/>
      <c r="DV110" s="249"/>
      <c r="DW110" s="249"/>
      <c r="DX110" s="249"/>
      <c r="DY110" s="249"/>
      <c r="DZ110" s="249"/>
      <c r="EA110" s="249"/>
      <c r="EB110" s="249"/>
      <c r="EC110" s="249"/>
      <c r="ED110" s="249"/>
      <c r="EE110" s="249"/>
      <c r="EF110" s="249"/>
      <c r="EG110" s="249"/>
      <c r="EH110" s="249"/>
      <c r="EI110" s="249"/>
      <c r="EJ110" s="249"/>
      <c r="EK110" s="249"/>
      <c r="EL110" s="249"/>
      <c r="EM110" s="249"/>
      <c r="EN110" s="249"/>
      <c r="EO110" s="249"/>
      <c r="EP110" s="249"/>
      <c r="EQ110" s="249"/>
      <c r="ER110" s="249"/>
      <c r="ES110" s="249"/>
      <c r="ET110" s="249"/>
      <c r="EU110" s="249"/>
      <c r="EV110" s="249"/>
      <c r="EW110" s="249"/>
      <c r="EX110" s="249"/>
      <c r="EY110" s="249"/>
      <c r="EZ110" s="249"/>
      <c r="FA110" s="249"/>
      <c r="FB110" s="249"/>
      <c r="FC110" s="249"/>
      <c r="FD110" s="249"/>
      <c r="FE110" s="249"/>
      <c r="FF110" s="249"/>
      <c r="FG110" s="249"/>
      <c r="FH110" s="249"/>
      <c r="FI110" s="249"/>
      <c r="FJ110" s="249"/>
      <c r="FK110" s="249"/>
      <c r="FL110" s="249"/>
      <c r="FM110" s="249"/>
      <c r="FN110" s="249"/>
      <c r="FO110" s="249"/>
      <c r="FP110" s="249"/>
      <c r="FQ110" s="249"/>
      <c r="FR110" s="249"/>
      <c r="FS110" s="249"/>
      <c r="FT110" s="249"/>
      <c r="FU110" s="249"/>
      <c r="FV110" s="249"/>
      <c r="FW110" s="249"/>
      <c r="FX110" s="249"/>
      <c r="FY110" s="249"/>
      <c r="FZ110" s="249"/>
      <c r="GA110" s="249"/>
      <c r="GB110" s="249"/>
      <c r="GC110" s="249"/>
      <c r="GD110" s="249"/>
      <c r="GE110" s="249"/>
      <c r="GF110" s="249"/>
      <c r="GG110" s="249"/>
      <c r="GH110" s="249"/>
      <c r="GI110" s="249"/>
      <c r="GJ110" s="249"/>
      <c r="GK110" s="249"/>
      <c r="GL110" s="249"/>
      <c r="GM110" s="249"/>
      <c r="GN110" s="249"/>
      <c r="GO110" s="249"/>
      <c r="GP110" s="249"/>
      <c r="GQ110" s="249"/>
      <c r="GR110" s="249"/>
      <c r="GS110" s="249"/>
      <c r="GT110" s="249"/>
      <c r="GU110" s="249"/>
      <c r="GV110" s="249"/>
      <c r="GW110" s="249"/>
      <c r="GX110" s="249"/>
      <c r="GY110" s="249"/>
      <c r="GZ110" s="249"/>
      <c r="HA110" s="249"/>
      <c r="HB110" s="249"/>
      <c r="HC110" s="249"/>
      <c r="HD110" s="249"/>
      <c r="HE110" s="249"/>
      <c r="HF110" s="249"/>
      <c r="HG110" s="249"/>
      <c r="HH110" s="249"/>
      <c r="HI110" s="249"/>
      <c r="HJ110" s="249"/>
      <c r="HK110" s="249"/>
      <c r="HL110" s="249"/>
      <c r="HM110" s="249"/>
      <c r="HN110" s="249"/>
      <c r="HO110" s="249"/>
      <c r="HP110" s="249"/>
      <c r="HQ110" s="249"/>
      <c r="HR110" s="249"/>
      <c r="HS110" s="249"/>
      <c r="HT110" s="249"/>
      <c r="HU110" s="249"/>
      <c r="HV110" s="249"/>
      <c r="HW110" s="249"/>
      <c r="HX110" s="249"/>
      <c r="HY110" s="249"/>
      <c r="HZ110" s="249"/>
      <c r="IA110" s="249"/>
      <c r="IB110" s="249"/>
      <c r="IC110" s="249"/>
      <c r="ID110" s="249"/>
      <c r="IE110" s="249"/>
      <c r="IF110" s="249"/>
      <c r="IG110" s="249"/>
      <c r="IH110" s="249"/>
      <c r="II110" s="249"/>
      <c r="IJ110" s="249"/>
      <c r="IK110" s="249"/>
      <c r="IL110" s="249"/>
      <c r="IM110" s="249"/>
      <c r="IN110" s="249"/>
      <c r="IO110" s="249"/>
      <c r="IP110" s="249"/>
      <c r="IQ110" s="249"/>
    </row>
  </sheetData>
  <mergeCells count="19">
    <mergeCell ref="A108:E108"/>
    <mergeCell ref="B14:E14"/>
    <mergeCell ref="B15:E15"/>
    <mergeCell ref="D9:E9"/>
    <mergeCell ref="B23:E23"/>
    <mergeCell ref="C29:E29"/>
    <mergeCell ref="C45:E45"/>
    <mergeCell ref="C75:E75"/>
    <mergeCell ref="C102:E102"/>
    <mergeCell ref="A8:E8"/>
    <mergeCell ref="A11:E11"/>
    <mergeCell ref="A12:E12"/>
    <mergeCell ref="B13:E13"/>
    <mergeCell ref="A7:E7"/>
    <mergeCell ref="A1:E1"/>
    <mergeCell ref="C3:E3"/>
    <mergeCell ref="C4:E4"/>
    <mergeCell ref="C5:E5"/>
    <mergeCell ref="C6:E6"/>
  </mergeCells>
  <pageMargins left="0.7" right="0.7" top="0.75" bottom="0.75" header="0.3" footer="0.3"/>
  <pageSetup paperSize="9" orientation="portrait" r:id="rId1"/>
  <headerFooter>
    <oddFooter>&amp;R&amp;P</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SUM('1.Лок.смета.и.Акт'!AS47:'1.Лок.смета.и.Акт'!AS79)</f>
        <v>0</v>
      </c>
      <c r="AZ14">
        <f>SUM('1.Лок.смета.и.Акт'!AT47:'1.Лок.смета.и.Акт'!AT79)</f>
        <v>0</v>
      </c>
      <c r="BA14">
        <f>SUM('1.Лок.смета.и.Акт'!AU47:'1.Лок.смета.и.Акт'!AU79)</f>
        <v>0</v>
      </c>
      <c r="BB14">
        <f>SUM('1.Лок.смета.и.Акт'!AV47:'1.Лок.смета.и.Акт'!AV79)</f>
        <v>0</v>
      </c>
      <c r="BC14">
        <f>SUM('1.Лок.смета.и.Акт'!AW47:'1.Лок.смета.и.Акт'!AW79)</f>
        <v>0</v>
      </c>
      <c r="BD14">
        <f>SUM('1.Лок.смета.и.Акт'!AX47:'1.Лок.смета.и.Акт'!AX79)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SUM('1.Лок.смета.и.Акт'!GJ47:'1.Лок.смета.и.Акт'!GJ79)</f>
        <v>29890</v>
      </c>
      <c r="EW14">
        <f>SUM('1.Лок.смета.и.Акт'!GK47:'1.Лок.смета.и.Акт'!GK79)</f>
        <v>2189</v>
      </c>
      <c r="EX14">
        <f>SUM('1.Лок.смета.и.Акт'!GL47:'1.Лок.смета.и.Акт'!GL79)</f>
        <v>27701</v>
      </c>
      <c r="EY14">
        <f>SUM('1.Лок.смета.и.Акт'!GM47:'1.Лок.смета.и.Акт'!GM79)</f>
        <v>1304</v>
      </c>
      <c r="EZ14">
        <f>SUM('1.Лок.смета.и.Акт'!GN47:'1.Лок.смета.и.Акт'!GN79)</f>
        <v>0</v>
      </c>
      <c r="FA14">
        <f>SUM('1.Лок.смета.и.Акт'!GO47:'1.Лок.смета.и.Акт'!GO79)</f>
        <v>0</v>
      </c>
      <c r="FB14">
        <f>SUM('1.Лок.смета.и.Акт'!GP47:'1.Лок.смета.и.Акт'!GP79)</f>
        <v>0</v>
      </c>
      <c r="FC14">
        <f>SUM('1.Лок.смета.и.Акт'!GQ47:'1.Лок.смета.и.Акт'!GQ79)</f>
        <v>0</v>
      </c>
      <c r="FD14">
        <f>SUM('1.Лок.смета.и.Акт'!GR47:'1.Лок.смета.и.Акт'!GR79)</f>
        <v>0</v>
      </c>
      <c r="FE14">
        <f>SUM('1.Лок.смета.и.Акт'!GS47:'1.Лок.смета.и.Акт'!GS79)</f>
        <v>0</v>
      </c>
      <c r="FF14">
        <f>SUM('1.Лок.смета.и.Акт'!GT47:'1.Лок.смета.и.Акт'!GT79)</f>
        <v>0</v>
      </c>
      <c r="FG14">
        <f>SUM('1.Лок.смета.и.Акт'!GU47:'1.Лок.смета.и.Акт'!GU79)</f>
        <v>0</v>
      </c>
      <c r="FH14">
        <f>SUM('1.Лок.смета.и.Акт'!GV47:'1.Лок.смета.и.Акт'!GV79)</f>
        <v>0</v>
      </c>
      <c r="FI14">
        <f>SUM('1.Лок.смета.и.Акт'!GW47:'1.Лок.смета.и.Акт'!GW79)</f>
        <v>0</v>
      </c>
      <c r="FJ14">
        <f>SUM('1.Лок.смета.и.Акт'!GX47:'1.Лок.смета.и.Акт'!GX79)</f>
        <v>0</v>
      </c>
      <c r="FK14">
        <f>SUM('1.Лок.смета.и.Акт'!GY47:'1.Лок.смета.и.Акт'!GY79)</f>
        <v>3004</v>
      </c>
      <c r="FL14">
        <f>SUM('1.Лок.смета.и.Акт'!GZ47:'1.Лок.смета.и.Акт'!GZ79)</f>
        <v>1643</v>
      </c>
      <c r="FM14">
        <f>SUM('1.Лок.смета.и.Акт'!HA47:'1.Лок.смета.и.Акт'!HA79)</f>
        <v>34537</v>
      </c>
      <c r="FN14">
        <f>SUM('1.Лок.смета.и.Акт'!HB47:'1.Лок.смета.и.Акт'!HB79)</f>
        <v>34537</v>
      </c>
      <c r="FO14">
        <f>SUM('1.Лок.смета.и.Акт'!HC47:'1.Лок.смета.и.Акт'!HC79)</f>
        <v>0</v>
      </c>
      <c r="FP14">
        <f>SUM('1.Лок.смета.и.Акт'!HD47:'1.Лок.смета.и.Акт'!HD79)</f>
        <v>0</v>
      </c>
      <c r="FQ14">
        <f>SUM('1.Лок.смета.и.Акт'!HE47:'1.Лок.смета.и.Акт'!HE79)</f>
        <v>0</v>
      </c>
      <c r="FR14">
        <f>'1.Лок.смета.и.Акт'!FN80+'1.Лок.смета.и.Акт'!FO80</f>
        <v>34537</v>
      </c>
      <c r="FS14">
        <f>SUM('1.Лок.смета.и.Акт'!HG47:'1.Лок.смета.и.Акт'!HG79)</f>
        <v>0</v>
      </c>
      <c r="FT14">
        <f>SUM('1.Лок.смета.и.Акт'!HH47:'1.Лок.смета.и.Акт'!HH79)</f>
        <v>0</v>
      </c>
      <c r="FU14">
        <f>SUM('1.Лок.смета.и.Акт'!HI47:'1.Лок.смета.и.Акт'!HI79)</f>
        <v>0</v>
      </c>
      <c r="FV14">
        <f>SUM('1.Лок.смета.и.Акт'!HJ47:'1.Лок.смета.и.Акт'!HJ79)</f>
        <v>0</v>
      </c>
      <c r="FW14">
        <f>SUM('1.Лок.смета.и.Акт'!HK47:'1.Лок.смета.и.Акт'!HK79)</f>
        <v>16406</v>
      </c>
      <c r="FX14">
        <f>SUMIF('1.Лок.смета.и.Акт'!CV47:'1.Лок.смета.и.Акт'!CV79,1,'1.Лок.смета.и.Акт'!GK47:'1.Лок.смета.и.Акт'!GK79)</f>
        <v>2189</v>
      </c>
      <c r="FY14">
        <f>SUMIF('1.Лок.смета.и.Акт'!CV47:'1.Лок.смета.и.Акт'!CV79,2,'1.Лок.смета.и.Акт'!GK47:'1.Лок.смета.и.Акт'!GK79)</f>
        <v>0</v>
      </c>
      <c r="FZ14">
        <f>SUMIF('1.Лок.смета.и.Акт'!CV47:'1.Лок.смета.и.Акт'!CV79,5,'1.Лок.смета.и.Акт'!GK47:'1.Лок.смета.и.Акт'!GK79)</f>
        <v>0</v>
      </c>
      <c r="GA14">
        <f>SUMIF('1.Лок.смета.и.Акт'!CV47:'1.Лок.смета.и.Акт'!CV79,4,'1.Лок.смета.и.Акт'!GK47:'1.Лок.смета.и.Акт'!GK79)</f>
        <v>0</v>
      </c>
      <c r="GB14">
        <f>SUMIF('1.Лок.смета.и.Акт'!CV47:'1.Лок.смета.и.Акт'!CV79,1,'1.Лок.смета.и.Акт'!GL47:'1.Лок.смета.и.Акт'!GL79)</f>
        <v>27701</v>
      </c>
      <c r="GC14">
        <f>SUMIF('1.Лок.смета.и.Акт'!CV47:'1.Лок.смета.и.Акт'!CV79,2,'1.Лок.смета.и.Акт'!GL47:'1.Лок.смета.и.Акт'!GL79)</f>
        <v>0</v>
      </c>
      <c r="GD14">
        <f>SUMIF('1.Лок.смета.и.Акт'!CV47:'1.Лок.смета.и.Акт'!CV79,4,'1.Лок.смета.и.Акт'!GL47:'1.Лок.смета.и.Акт'!GL79)</f>
        <v>0</v>
      </c>
      <c r="GE14">
        <f>SUMIF('1.Лок.смета.и.Акт'!CV47:'1.Лок.смета.и.Акт'!CV79,1,'1.Лок.смета.и.Акт'!GQ47:'1.Лок.смета.и.Акт'!GQ79)</f>
        <v>0</v>
      </c>
      <c r="GF14">
        <f>SUMIF('1.Лок.смета.и.Акт'!CV47:'1.Лок.смета.и.Акт'!CV79,2,'1.Лок.смета.и.Акт'!GQ47:'1.Лок.смета.и.Акт'!GQ79)</f>
        <v>0</v>
      </c>
      <c r="GG14">
        <f>SUMIF('1.Лок.смета.и.Акт'!CV47:'1.Лок.смета.и.Акт'!CV79,4,'1.Лок.смета.и.Акт'!GQ47:'1.Лок.смета.и.Акт'!GQ79)</f>
        <v>0</v>
      </c>
      <c r="IB14">
        <f>SUM('1.Лок.смета.и.Акт'!HO47:'1.Лок.смета.и.Акт'!HO79)</f>
        <v>16406</v>
      </c>
      <c r="IC14">
        <f>SUM('1.Лок.смета.и.Акт'!HQ47:'1.Лок.смета.и.Акт'!HQ79)</f>
        <v>0</v>
      </c>
      <c r="ID14">
        <f>SUM('1.Лок.смета.и.Акт'!HS47:'1.Лок.смета.и.Акт'!HS79)</f>
        <v>0</v>
      </c>
      <c r="IE14">
        <f>SUM('1.Лок.смета.и.Акт'!HU47:'1.Лок.смета.и.Акт'!HU79)</f>
        <v>0</v>
      </c>
      <c r="IF14">
        <f>SUM('1.Лок.смета.и.Акт'!HY47:'1.Лок.смета.и.Акт'!HY79)</f>
        <v>0</v>
      </c>
      <c r="IG14">
        <f>SUM('1.Лок.смета.и.Акт'!HZ47:'1.Лок.смета.и.Акт'!HZ79)</f>
        <v>0</v>
      </c>
      <c r="IH14">
        <f>SUM('1.Лок.смета.и.Акт'!HL47:'1.Лок.смета.и.Акт'!HL79)</f>
        <v>18131</v>
      </c>
      <c r="II14">
        <f>SUM('1.Лок.смета.и.Акт'!HN47:'1.Лок.смета.и.Акт'!HN79)</f>
        <v>18131</v>
      </c>
      <c r="IJ14">
        <f>SUM('1.Лок.смета.и.Акт'!HP47:'1.Лок.смета.и.Акт'!HP79)</f>
        <v>0</v>
      </c>
      <c r="IK14">
        <f>SUM('1.Лок.смета.и.Акт'!HR47:'1.Лок.смета.и.Акт'!HR79)</f>
        <v>0</v>
      </c>
      <c r="IL14">
        <f>SUM('1.Лок.смета.и.Акт'!HT47:'1.Лок.смета.и.Акт'!HT79)</f>
        <v>0</v>
      </c>
      <c r="IM14">
        <f>SUM('1.Лок.смета.и.Акт'!HW47:'1.Лок.смета.и.Акт'!HW79)</f>
        <v>0</v>
      </c>
      <c r="IN14">
        <f>SUMIF('1.Лок.смета.и.Акт'!CV47:'1.Лок.смета.и.Акт'!CV79,1,'1.Лок.смета.и.Акт'!GY47:'1.Лок.смета.и.Акт'!GY79)</f>
        <v>3004</v>
      </c>
      <c r="IO14">
        <f>SUMIF('1.Лок.смета.и.Акт'!CV47:'1.Лок.смета.и.Акт'!CV79,2,'1.Лок.смета.и.Акт'!GY47:'1.Лок.смета.и.Акт'!GY79)</f>
        <v>0</v>
      </c>
      <c r="IP14">
        <f>SUMIF('1.Лок.смета.и.Акт'!CV47:'1.Лок.смета.и.Акт'!CV79,5,'1.Лок.смета.и.Акт'!GY47:'1.Лок.смета.и.Акт'!GY79)</f>
        <v>0</v>
      </c>
      <c r="IQ14">
        <f>SUMIF('1.Лок.смета.и.Акт'!CV47:'1.Лок.смета.и.Акт'!CV79,4,'1.Лок.смета.и.Акт'!GY47:'1.Лок.смета.и.Акт'!GY79)</f>
        <v>0</v>
      </c>
      <c r="IR14">
        <f>SUMIF('1.Лок.смета.и.Акт'!CV47:'1.Лок.смета.и.Акт'!CV79,1,'1.Лок.смета.и.Акт'!GZ47:'1.Лок.смета.и.Акт'!GZ79)</f>
        <v>1643</v>
      </c>
      <c r="IS14">
        <f>SUMIF('1.Лок.смета.и.Акт'!CV47:'1.Лок.смета.и.Акт'!CV79,2,'1.Лок.смета.и.Акт'!GZ47:'1.Лок.смета.и.Акт'!GZ79)</f>
        <v>0</v>
      </c>
      <c r="IT14">
        <f>SUMIF('1.Лок.смета.и.Акт'!CV47:'1.Лок.смета.и.Акт'!CV79,5,'1.Лок.смета.и.Акт'!GZ47:'1.Лок.смета.и.Акт'!GZ79)</f>
        <v>0</v>
      </c>
      <c r="IU14">
        <f>SUMIF('1.Лок.смета.и.Акт'!CV47:'1.Лок.смета.и.Акт'!CV79,4,'1.Лок.смета.и.Акт'!GZ47:'1.Лок.смета.и.Акт'!GZ79)</f>
        <v>0</v>
      </c>
    </row>
    <row r="15" spans="1:255" x14ac:dyDescent="0.2">
      <c r="A15">
        <v>999</v>
      </c>
      <c r="B15" t="s">
        <v>340</v>
      </c>
    </row>
    <row r="80" spans="57:68" x14ac:dyDescent="0.2">
      <c r="BE80">
        <f>SUMIF('1.Лок.смета.и.Акт'!CV47:'1.Лок.смета.и.Акт'!CV79,1,'1.Лок.смета.и.Акт'!AV47:'1.Лок.смета.и.Акт'!AV79)</f>
        <v>0</v>
      </c>
      <c r="BF80">
        <f>SUMIF('1.Лок.смета.и.Акт'!CV47:'1.Лок.смета.и.Акт'!CV79,2,'1.Лок.смета.и.Акт'!AV47:'1.Лок.смета.и.Акт'!AV79)</f>
        <v>0</v>
      </c>
      <c r="BG80">
        <f>SUMIF('1.Лок.смета.и.Акт'!CV47:'1.Лок.смета.и.Акт'!CV79,5,'1.Лок.смета.и.Акт'!AV47:'1.Лок.смета.и.Акт'!AV79)</f>
        <v>0</v>
      </c>
      <c r="BH80">
        <f>SUMIF('1.Лок.смета.и.Акт'!CV47:'1.Лок.смета.и.Акт'!CV79,4,'1.Лок.смета.и.Акт'!AV47:'1.Лок.смета.и.Акт'!AV79)</f>
        <v>0</v>
      </c>
      <c r="BI80">
        <f>SUMIF('1.Лок.смета.и.Акт'!CV47:'1.Лок.смета.и.Акт'!CV79,1,'1.Лок.смета.и.Акт'!AW47:'1.Лок.смета.и.Акт'!AW79)</f>
        <v>0</v>
      </c>
      <c r="BJ80">
        <f>SUMIF('1.Лок.смета.и.Акт'!CV47:'1.Лок.смета.и.Акт'!CV79,2,'1.Лок.смета.и.Акт'!AW47:'1.Лок.смета.и.Акт'!AW79)</f>
        <v>0</v>
      </c>
      <c r="BK80">
        <f>SUMIF('1.Лок.смета.и.Акт'!CV47:'1.Лок.смета.и.Акт'!CV79,5,'1.Лок.смета.и.Акт'!AW47:'1.Лок.смета.и.Акт'!AW79)</f>
        <v>0</v>
      </c>
      <c r="BL80">
        <f>SUMIF('1.Лок.смета.и.Акт'!CV47:'1.Лок.смета.и.Акт'!CV79,4,'1.Лок.смета.и.Акт'!AW47:'1.Лок.смета.и.Акт'!AW79)</f>
        <v>0</v>
      </c>
      <c r="BM80">
        <f>SUMIF('1.Лок.смета.и.Акт'!CV47:'1.Лок.смета.и.Акт'!CV79,1,'1.Лок.смета.и.Акт'!AX47:'1.Лок.смета.и.Акт'!AX79)</f>
        <v>0</v>
      </c>
      <c r="BN80">
        <f>SUMIF('1.Лок.смета.и.Акт'!CV47:'1.Лок.смета.и.Акт'!CV79,2,'1.Лок.смета.и.Акт'!AX47:'1.Лок.смета.и.Акт'!AX79)</f>
        <v>0</v>
      </c>
      <c r="BO80">
        <f>SUMIF('1.Лок.смета.и.Акт'!CV47:'1.Лок.смета.и.Акт'!CV79,5,'1.Лок.смета.и.Акт'!AX47:'1.Лок.смета.и.Акт'!AX79)</f>
        <v>0</v>
      </c>
      <c r="BP80">
        <f>SUMIF('1.Лок.смета.и.Акт'!CV47:'1.Лок.смета.и.Акт'!CV79,4,'1.Лок.смета.и.Акт'!AX47:'1.Лок.смета.и.Акт'!AX79)</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
  <sheetViews>
    <sheetView workbookViewId="0">
      <selection activeCell="A130" sqref="A130:AN13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25077</v>
      </c>
      <c r="M1">
        <v>17628643</v>
      </c>
      <c r="N1">
        <v>11</v>
      </c>
      <c r="O1">
        <v>5</v>
      </c>
      <c r="P1">
        <v>3</v>
      </c>
      <c r="Q1">
        <v>2</v>
      </c>
      <c r="IF1">
        <v>-1</v>
      </c>
    </row>
    <row r="2" spans="1:246" x14ac:dyDescent="0.2">
      <c r="IF2">
        <v>-1</v>
      </c>
    </row>
    <row r="3" spans="1:246" x14ac:dyDescent="0.2">
      <c r="IF3">
        <v>-1</v>
      </c>
    </row>
    <row r="4" spans="1:246"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c r="IF4">
        <v>-1</v>
      </c>
    </row>
    <row r="5" spans="1:246" x14ac:dyDescent="0.2">
      <c r="IF5">
        <v>-1</v>
      </c>
      <c r="IK5">
        <v>6</v>
      </c>
      <c r="IL5" t="s">
        <v>210</v>
      </c>
    </row>
    <row r="6" spans="1:246" x14ac:dyDescent="0.2">
      <c r="IF6">
        <v>-1</v>
      </c>
      <c r="IK6">
        <v>50</v>
      </c>
      <c r="IL6" t="s">
        <v>197</v>
      </c>
    </row>
    <row r="7" spans="1:246" x14ac:dyDescent="0.2">
      <c r="IF7">
        <v>-1</v>
      </c>
      <c r="IK7">
        <v>1</v>
      </c>
      <c r="IL7" t="s">
        <v>346</v>
      </c>
    </row>
    <row r="8" spans="1:246" x14ac:dyDescent="0.2">
      <c r="IF8">
        <v>-1</v>
      </c>
      <c r="IK8">
        <f>IF((Source!AR34&lt;&gt;'2.Лок.смета.и.Акт в ЕР'!P80),0,1)</f>
        <v>1</v>
      </c>
      <c r="IL8" t="s">
        <v>282</v>
      </c>
    </row>
    <row r="9" spans="1:246" x14ac:dyDescent="0.2">
      <c r="IF9">
        <v>-1</v>
      </c>
      <c r="IK9" s="12" t="s">
        <v>342</v>
      </c>
      <c r="IL9" t="s">
        <v>198</v>
      </c>
    </row>
    <row r="10" spans="1:246" x14ac:dyDescent="0.2">
      <c r="IF10">
        <v>-1</v>
      </c>
      <c r="IK10">
        <v>2</v>
      </c>
      <c r="IL10" t="s">
        <v>195</v>
      </c>
    </row>
    <row r="11" spans="1:246" x14ac:dyDescent="0.2">
      <c r="IF11">
        <v>-1</v>
      </c>
      <c r="IK11" t="s">
        <v>341</v>
      </c>
      <c r="IL11" t="s">
        <v>196</v>
      </c>
    </row>
    <row r="12" spans="1:246" x14ac:dyDescent="0.2">
      <c r="A12" s="1">
        <v>1</v>
      </c>
      <c r="B12" s="1">
        <v>128</v>
      </c>
      <c r="C12" s="1">
        <v>0</v>
      </c>
      <c r="D12" s="1">
        <f>ROW(A64)</f>
        <v>64</v>
      </c>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B64</f>
        <v>128</v>
      </c>
      <c r="C18" s="3">
        <f t="shared" si="0"/>
        <v>1</v>
      </c>
      <c r="D18" s="3">
        <f t="shared" si="0"/>
        <v>12</v>
      </c>
      <c r="E18" s="3">
        <f t="shared" si="0"/>
        <v>0</v>
      </c>
      <c r="F18" s="3" t="str">
        <f t="shared" si="0"/>
        <v>5.1.1.1 Устройство котлована</v>
      </c>
      <c r="G18" s="3" t="str">
        <f t="shared" si="0"/>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18" s="3"/>
      <c r="I18" s="3"/>
      <c r="J18" s="3"/>
      <c r="K18" s="3"/>
      <c r="L18" s="3"/>
      <c r="M18" s="3"/>
      <c r="N18" s="3"/>
      <c r="O18" s="3">
        <f t="shared" ref="O18:AT18" si="1">O64</f>
        <v>29890</v>
      </c>
      <c r="P18" s="3">
        <f t="shared" si="1"/>
        <v>0</v>
      </c>
      <c r="Q18" s="3">
        <f t="shared" si="1"/>
        <v>27701</v>
      </c>
      <c r="R18" s="3">
        <f t="shared" si="1"/>
        <v>1304</v>
      </c>
      <c r="S18" s="3">
        <f t="shared" si="1"/>
        <v>2189</v>
      </c>
      <c r="T18" s="3">
        <f t="shared" si="1"/>
        <v>0</v>
      </c>
      <c r="U18" s="3">
        <f t="shared" si="1"/>
        <v>278.18263499999995</v>
      </c>
      <c r="V18" s="3">
        <f t="shared" si="1"/>
        <v>95.796950999999993</v>
      </c>
      <c r="W18" s="3">
        <f t="shared" si="1"/>
        <v>0</v>
      </c>
      <c r="X18" s="3">
        <f t="shared" si="1"/>
        <v>3004</v>
      </c>
      <c r="Y18" s="3">
        <f t="shared" si="1"/>
        <v>1643</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34537</v>
      </c>
      <c r="AS18" s="3">
        <f t="shared" si="1"/>
        <v>34537</v>
      </c>
      <c r="AT18" s="3">
        <f t="shared" si="1"/>
        <v>0</v>
      </c>
      <c r="AU18" s="3">
        <f t="shared" ref="AU18:BZ18" si="2">AU64</f>
        <v>0</v>
      </c>
      <c r="AV18" s="3">
        <f t="shared" si="2"/>
        <v>0</v>
      </c>
      <c r="AW18" s="3">
        <f t="shared" si="2"/>
        <v>0</v>
      </c>
      <c r="AX18" s="3">
        <f t="shared" si="2"/>
        <v>0</v>
      </c>
      <c r="AY18" s="3">
        <f t="shared" si="2"/>
        <v>0</v>
      </c>
      <c r="AZ18" s="3">
        <f t="shared" si="2"/>
        <v>0</v>
      </c>
      <c r="BA18" s="3">
        <f t="shared" si="2"/>
        <v>0</v>
      </c>
      <c r="BB18" s="3">
        <f t="shared" si="2"/>
        <v>0</v>
      </c>
      <c r="BC18" s="3">
        <f t="shared" si="2"/>
        <v>0</v>
      </c>
      <c r="BD18" s="3">
        <f t="shared" si="2"/>
        <v>16406</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CA64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DG64</f>
        <v>244662</v>
      </c>
      <c r="DH18" s="4">
        <f t="shared" si="4"/>
        <v>0</v>
      </c>
      <c r="DI18" s="4">
        <f t="shared" si="4"/>
        <v>189207</v>
      </c>
      <c r="DJ18" s="4">
        <f t="shared" si="4"/>
        <v>23899</v>
      </c>
      <c r="DK18" s="4">
        <f t="shared" si="4"/>
        <v>55455</v>
      </c>
      <c r="DL18" s="4">
        <f t="shared" si="4"/>
        <v>0</v>
      </c>
      <c r="DM18" s="4">
        <f t="shared" si="4"/>
        <v>278.18263499999995</v>
      </c>
      <c r="DN18" s="4">
        <f t="shared" si="4"/>
        <v>95.796950999999993</v>
      </c>
      <c r="DO18" s="4">
        <f t="shared" si="4"/>
        <v>0</v>
      </c>
      <c r="DP18" s="4">
        <f t="shared" si="4"/>
        <v>63981</v>
      </c>
      <c r="DQ18" s="4">
        <f t="shared" si="4"/>
        <v>31466</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f t="shared" si="4"/>
        <v>340109</v>
      </c>
      <c r="EK18" s="4">
        <f t="shared" si="4"/>
        <v>340109</v>
      </c>
      <c r="EL18" s="4">
        <f t="shared" si="4"/>
        <v>0</v>
      </c>
      <c r="EM18" s="4">
        <f t="shared" ref="EM18:FR18" si="5">EM64</f>
        <v>0</v>
      </c>
      <c r="EN18" s="4">
        <f t="shared" si="5"/>
        <v>0</v>
      </c>
      <c r="EO18" s="4">
        <f t="shared" si="5"/>
        <v>0</v>
      </c>
      <c r="EP18" s="4">
        <f t="shared" si="5"/>
        <v>0</v>
      </c>
      <c r="EQ18" s="4">
        <f t="shared" si="5"/>
        <v>0</v>
      </c>
      <c r="ER18" s="4">
        <f t="shared" si="5"/>
        <v>0</v>
      </c>
      <c r="ES18" s="4">
        <f t="shared" si="5"/>
        <v>0</v>
      </c>
      <c r="ET18" s="4">
        <f t="shared" si="5"/>
        <v>0</v>
      </c>
      <c r="EU18" s="4">
        <f t="shared" si="5"/>
        <v>0</v>
      </c>
      <c r="EV18" s="4">
        <f t="shared" si="5"/>
        <v>116807</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FS64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ROW(A34)</f>
        <v>34</v>
      </c>
      <c r="E20" s="1"/>
      <c r="F20" s="1" t="s">
        <v>14</v>
      </c>
      <c r="G20" s="1" t="s">
        <v>15</v>
      </c>
      <c r="H20" s="1" t="s">
        <v>6</v>
      </c>
      <c r="I20" s="1">
        <v>0</v>
      </c>
      <c r="J20" s="1" t="s">
        <v>6</v>
      </c>
      <c r="K20" s="1">
        <v>-1</v>
      </c>
      <c r="L20" s="1" t="s">
        <v>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B34</f>
        <v>1</v>
      </c>
      <c r="C22" s="3">
        <f t="shared" si="7"/>
        <v>3</v>
      </c>
      <c r="D22" s="3">
        <f t="shared" si="7"/>
        <v>20</v>
      </c>
      <c r="E22" s="3">
        <f t="shared" si="7"/>
        <v>0</v>
      </c>
      <c r="F22" s="3" t="str">
        <f t="shared" si="7"/>
        <v>5.1.1.1</v>
      </c>
      <c r="G22" s="3" t="str">
        <f t="shared" si="7"/>
        <v>Устройство котлована</v>
      </c>
      <c r="H22" s="3"/>
      <c r="I22" s="3"/>
      <c r="J22" s="3"/>
      <c r="K22" s="3"/>
      <c r="L22" s="3"/>
      <c r="M22" s="3"/>
      <c r="N22" s="3"/>
      <c r="O22" s="3">
        <f t="shared" ref="O22:AT22" si="8">O34</f>
        <v>29890</v>
      </c>
      <c r="P22" s="3">
        <f t="shared" si="8"/>
        <v>0</v>
      </c>
      <c r="Q22" s="3">
        <f t="shared" si="8"/>
        <v>27701</v>
      </c>
      <c r="R22" s="3">
        <f t="shared" si="8"/>
        <v>1304</v>
      </c>
      <c r="S22" s="3">
        <f t="shared" si="8"/>
        <v>2189</v>
      </c>
      <c r="T22" s="3">
        <f t="shared" si="8"/>
        <v>0</v>
      </c>
      <c r="U22" s="3">
        <f t="shared" si="8"/>
        <v>278.18263499999995</v>
      </c>
      <c r="V22" s="3">
        <f t="shared" si="8"/>
        <v>95.796950999999993</v>
      </c>
      <c r="W22" s="3">
        <f t="shared" si="8"/>
        <v>0</v>
      </c>
      <c r="X22" s="3">
        <f t="shared" si="8"/>
        <v>3004</v>
      </c>
      <c r="Y22" s="3">
        <f t="shared" si="8"/>
        <v>1643</v>
      </c>
      <c r="Z22" s="3">
        <f t="shared" si="8"/>
        <v>0</v>
      </c>
      <c r="AA22" s="3">
        <f t="shared" si="8"/>
        <v>0</v>
      </c>
      <c r="AB22" s="3">
        <f t="shared" si="8"/>
        <v>29890</v>
      </c>
      <c r="AC22" s="3">
        <f t="shared" si="8"/>
        <v>0</v>
      </c>
      <c r="AD22" s="3">
        <f t="shared" si="8"/>
        <v>27701</v>
      </c>
      <c r="AE22" s="3">
        <f t="shared" si="8"/>
        <v>1304</v>
      </c>
      <c r="AF22" s="3">
        <f t="shared" si="8"/>
        <v>2189</v>
      </c>
      <c r="AG22" s="3">
        <f t="shared" si="8"/>
        <v>0</v>
      </c>
      <c r="AH22" s="3">
        <f t="shared" si="8"/>
        <v>278.18263499999995</v>
      </c>
      <c r="AI22" s="3">
        <f t="shared" si="8"/>
        <v>95.796950999999993</v>
      </c>
      <c r="AJ22" s="3">
        <f t="shared" si="8"/>
        <v>0</v>
      </c>
      <c r="AK22" s="3">
        <f t="shared" si="8"/>
        <v>3004</v>
      </c>
      <c r="AL22" s="3">
        <f t="shared" si="8"/>
        <v>1643</v>
      </c>
      <c r="AM22" s="3">
        <f t="shared" si="8"/>
        <v>0</v>
      </c>
      <c r="AN22" s="3">
        <f t="shared" si="8"/>
        <v>0</v>
      </c>
      <c r="AO22" s="3">
        <f t="shared" si="8"/>
        <v>0</v>
      </c>
      <c r="AP22" s="3">
        <f t="shared" si="8"/>
        <v>0</v>
      </c>
      <c r="AQ22" s="3">
        <f t="shared" si="8"/>
        <v>0</v>
      </c>
      <c r="AR22" s="3">
        <f t="shared" si="8"/>
        <v>34537</v>
      </c>
      <c r="AS22" s="3">
        <f t="shared" si="8"/>
        <v>34537</v>
      </c>
      <c r="AT22" s="3">
        <f t="shared" si="8"/>
        <v>0</v>
      </c>
      <c r="AU22" s="3">
        <f t="shared" ref="AU22:BZ22" si="9">AU34</f>
        <v>0</v>
      </c>
      <c r="AV22" s="3">
        <f t="shared" si="9"/>
        <v>0</v>
      </c>
      <c r="AW22" s="3">
        <f t="shared" si="9"/>
        <v>0</v>
      </c>
      <c r="AX22" s="3">
        <f t="shared" si="9"/>
        <v>0</v>
      </c>
      <c r="AY22" s="3">
        <f t="shared" si="9"/>
        <v>0</v>
      </c>
      <c r="AZ22" s="3">
        <f t="shared" si="9"/>
        <v>0</v>
      </c>
      <c r="BA22" s="3">
        <f t="shared" si="9"/>
        <v>0</v>
      </c>
      <c r="BB22" s="3">
        <f t="shared" si="9"/>
        <v>0</v>
      </c>
      <c r="BC22" s="3">
        <f t="shared" si="9"/>
        <v>0</v>
      </c>
      <c r="BD22" s="3">
        <f t="shared" si="9"/>
        <v>16406</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CA34</f>
        <v>34537</v>
      </c>
      <c r="CB22" s="3">
        <f t="shared" si="10"/>
        <v>34537</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16406</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DG34</f>
        <v>244662</v>
      </c>
      <c r="DH22" s="4">
        <f t="shared" si="11"/>
        <v>0</v>
      </c>
      <c r="DI22" s="4">
        <f t="shared" si="11"/>
        <v>189207</v>
      </c>
      <c r="DJ22" s="4">
        <f t="shared" si="11"/>
        <v>23899</v>
      </c>
      <c r="DK22" s="4">
        <f t="shared" si="11"/>
        <v>55455</v>
      </c>
      <c r="DL22" s="4">
        <f t="shared" si="11"/>
        <v>0</v>
      </c>
      <c r="DM22" s="4">
        <f t="shared" si="11"/>
        <v>278.18263499999995</v>
      </c>
      <c r="DN22" s="4">
        <f t="shared" si="11"/>
        <v>95.796950999999993</v>
      </c>
      <c r="DO22" s="4">
        <f t="shared" si="11"/>
        <v>0</v>
      </c>
      <c r="DP22" s="4">
        <f t="shared" si="11"/>
        <v>63981</v>
      </c>
      <c r="DQ22" s="4">
        <f t="shared" si="11"/>
        <v>31466</v>
      </c>
      <c r="DR22" s="4">
        <f t="shared" si="11"/>
        <v>0</v>
      </c>
      <c r="DS22" s="4">
        <f t="shared" si="11"/>
        <v>0</v>
      </c>
      <c r="DT22" s="4">
        <f t="shared" si="11"/>
        <v>244662</v>
      </c>
      <c r="DU22" s="4">
        <f t="shared" si="11"/>
        <v>0</v>
      </c>
      <c r="DV22" s="4">
        <f t="shared" si="11"/>
        <v>189207</v>
      </c>
      <c r="DW22" s="4">
        <f t="shared" si="11"/>
        <v>23899</v>
      </c>
      <c r="DX22" s="4">
        <f t="shared" si="11"/>
        <v>55455</v>
      </c>
      <c r="DY22" s="4">
        <f t="shared" si="11"/>
        <v>0</v>
      </c>
      <c r="DZ22" s="4">
        <f t="shared" si="11"/>
        <v>278.18263499999995</v>
      </c>
      <c r="EA22" s="4">
        <f t="shared" si="11"/>
        <v>95.796950999999993</v>
      </c>
      <c r="EB22" s="4">
        <f t="shared" si="11"/>
        <v>0</v>
      </c>
      <c r="EC22" s="4">
        <f t="shared" si="11"/>
        <v>63981</v>
      </c>
      <c r="ED22" s="4">
        <f t="shared" si="11"/>
        <v>31466</v>
      </c>
      <c r="EE22" s="4">
        <f t="shared" si="11"/>
        <v>0</v>
      </c>
      <c r="EF22" s="4">
        <f t="shared" si="11"/>
        <v>0</v>
      </c>
      <c r="EG22" s="4">
        <f t="shared" si="11"/>
        <v>0</v>
      </c>
      <c r="EH22" s="4">
        <f t="shared" si="11"/>
        <v>0</v>
      </c>
      <c r="EI22" s="4">
        <f t="shared" si="11"/>
        <v>0</v>
      </c>
      <c r="EJ22" s="4">
        <f t="shared" si="11"/>
        <v>340109</v>
      </c>
      <c r="EK22" s="4">
        <f t="shared" si="11"/>
        <v>340109</v>
      </c>
      <c r="EL22" s="4">
        <f t="shared" si="11"/>
        <v>0</v>
      </c>
      <c r="EM22" s="4">
        <f t="shared" ref="EM22:FR22" si="12">EM34</f>
        <v>0</v>
      </c>
      <c r="EN22" s="4">
        <f t="shared" si="12"/>
        <v>0</v>
      </c>
      <c r="EO22" s="4">
        <f t="shared" si="12"/>
        <v>0</v>
      </c>
      <c r="EP22" s="4">
        <f t="shared" si="12"/>
        <v>0</v>
      </c>
      <c r="EQ22" s="4">
        <f t="shared" si="12"/>
        <v>0</v>
      </c>
      <c r="ER22" s="4">
        <f t="shared" si="12"/>
        <v>0</v>
      </c>
      <c r="ES22" s="4">
        <f t="shared" si="12"/>
        <v>0</v>
      </c>
      <c r="ET22" s="4">
        <f t="shared" si="12"/>
        <v>0</v>
      </c>
      <c r="EU22" s="4">
        <f t="shared" si="12"/>
        <v>0</v>
      </c>
      <c r="EV22" s="4">
        <f t="shared" si="12"/>
        <v>116807</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FS34</f>
        <v>340109</v>
      </c>
      <c r="FT22" s="4">
        <f t="shared" si="13"/>
        <v>340109</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116807</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16</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17</v>
      </c>
      <c r="B25" s="2">
        <v>1</v>
      </c>
      <c r="C25" s="2">
        <f>ROW(SmtRes!A2)</f>
        <v>2</v>
      </c>
      <c r="D25" s="2">
        <f>ROW(EtalonRes!A2)</f>
        <v>2</v>
      </c>
      <c r="E25" s="2" t="s">
        <v>17</v>
      </c>
      <c r="F25" s="2" t="s">
        <v>18</v>
      </c>
      <c r="G25" s="2" t="s">
        <v>19</v>
      </c>
      <c r="H25" s="2" t="s">
        <v>20</v>
      </c>
      <c r="I25" s="2">
        <f>'2.Лок.смета.и.Акт в ЕР'!E50</f>
        <v>3.2006999999999999</v>
      </c>
      <c r="J25" s="2">
        <v>0</v>
      </c>
      <c r="K25" s="2">
        <f>ROUND(3200.7/1000,9)</f>
        <v>3.2006999999999999</v>
      </c>
      <c r="L25" s="2"/>
      <c r="M25" s="2"/>
      <c r="N25" s="2"/>
      <c r="O25" s="2">
        <f t="shared" ref="O25:O32" si="14">ROUND(CP25,0)</f>
        <v>10137</v>
      </c>
      <c r="P25" s="2">
        <f t="shared" ref="P25:P32" si="15">ROUND(CQ25*I25,0)</f>
        <v>0</v>
      </c>
      <c r="Q25" s="2">
        <f t="shared" ref="Q25:Q32" si="16">ROUND(CR25*I25,0)</f>
        <v>10137</v>
      </c>
      <c r="R25" s="2">
        <f t="shared" ref="R25:R32" si="17">ROUND(CS25*I25,0)</f>
        <v>1131</v>
      </c>
      <c r="S25" s="2">
        <f t="shared" ref="S25:S32" si="18">ROUND(CT25*I25,0)</f>
        <v>0</v>
      </c>
      <c r="T25" s="2">
        <f t="shared" ref="T25:T32" si="19">ROUND(CU25*I25,0)</f>
        <v>0</v>
      </c>
      <c r="U25" s="2">
        <f t="shared" ref="U25:U32" si="20">CV25*I25</f>
        <v>0</v>
      </c>
      <c r="V25" s="2">
        <f t="shared" ref="V25:V32" si="21">CW25*I25</f>
        <v>83.090171999999995</v>
      </c>
      <c r="W25" s="2">
        <f t="shared" ref="W25:W32" si="22">ROUND(CX25*I25,0)</f>
        <v>0</v>
      </c>
      <c r="X25" s="2">
        <f t="shared" ref="X25:Y32" si="23">ROUND(CY25,0)</f>
        <v>1074</v>
      </c>
      <c r="Y25" s="2">
        <f t="shared" si="23"/>
        <v>566</v>
      </c>
      <c r="Z25" s="2"/>
      <c r="AA25" s="2">
        <v>62803415</v>
      </c>
      <c r="AB25" s="2">
        <f t="shared" ref="AB25:AB32" si="24">ROUND((AC25+AD25+AF25),2)</f>
        <v>3167.12</v>
      </c>
      <c r="AC25" s="2">
        <f>ROUND((ES25),2)</f>
        <v>0</v>
      </c>
      <c r="AD25" s="2">
        <f>ROUND((((ET25)-(EU25))+AE25),2)</f>
        <v>3167.12</v>
      </c>
      <c r="AE25" s="2">
        <f>ROUND((EU25),2)</f>
        <v>353.32</v>
      </c>
      <c r="AF25" s="2">
        <f>ROUND((EV25),2)</f>
        <v>0</v>
      </c>
      <c r="AG25" s="2">
        <f t="shared" ref="AG25:AG32" si="25">ROUND((AP25),2)</f>
        <v>0</v>
      </c>
      <c r="AH25" s="2">
        <f t="shared" ref="AH25:AI30" si="26">(EW25)</f>
        <v>0</v>
      </c>
      <c r="AI25" s="2">
        <f t="shared" si="26"/>
        <v>25.96</v>
      </c>
      <c r="AJ25" s="2">
        <f t="shared" ref="AJ25:AJ32" si="27">(AS25)</f>
        <v>0</v>
      </c>
      <c r="AK25" s="2">
        <v>3167.12</v>
      </c>
      <c r="AL25" s="2">
        <v>0</v>
      </c>
      <c r="AM25" s="2">
        <v>3167.12</v>
      </c>
      <c r="AN25" s="2">
        <v>353.32</v>
      </c>
      <c r="AO25" s="2">
        <v>0</v>
      </c>
      <c r="AP25" s="2">
        <v>0</v>
      </c>
      <c r="AQ25" s="2">
        <v>0</v>
      </c>
      <c r="AR25" s="2">
        <v>25.96</v>
      </c>
      <c r="AS25" s="2">
        <v>0</v>
      </c>
      <c r="AT25" s="2">
        <v>95</v>
      </c>
      <c r="AU25" s="2">
        <v>50</v>
      </c>
      <c r="AV25" s="2">
        <v>1</v>
      </c>
      <c r="AW25" s="2">
        <v>1</v>
      </c>
      <c r="AX25" s="2"/>
      <c r="AY25" s="2"/>
      <c r="AZ25" s="2">
        <v>1</v>
      </c>
      <c r="BA25" s="2">
        <v>1</v>
      </c>
      <c r="BB25" s="2">
        <v>1</v>
      </c>
      <c r="BC25" s="2">
        <v>1</v>
      </c>
      <c r="BD25" s="2" t="s">
        <v>6</v>
      </c>
      <c r="BE25" s="2" t="s">
        <v>6</v>
      </c>
      <c r="BF25" s="2" t="s">
        <v>6</v>
      </c>
      <c r="BG25" s="2" t="s">
        <v>6</v>
      </c>
      <c r="BH25" s="2">
        <v>0</v>
      </c>
      <c r="BI25" s="2">
        <v>1</v>
      </c>
      <c r="BJ25" s="2" t="s">
        <v>21</v>
      </c>
      <c r="BK25" s="2"/>
      <c r="BL25" s="2"/>
      <c r="BM25" s="2">
        <v>1001</v>
      </c>
      <c r="BN25" s="2">
        <v>0</v>
      </c>
      <c r="BO25" s="2" t="s">
        <v>6</v>
      </c>
      <c r="BP25" s="2">
        <v>0</v>
      </c>
      <c r="BQ25" s="2">
        <v>1</v>
      </c>
      <c r="BR25" s="2">
        <v>0</v>
      </c>
      <c r="BS25" s="2">
        <v>1</v>
      </c>
      <c r="BT25" s="2">
        <v>1</v>
      </c>
      <c r="BU25" s="2">
        <v>1</v>
      </c>
      <c r="BV25" s="2">
        <v>1</v>
      </c>
      <c r="BW25" s="2">
        <v>1</v>
      </c>
      <c r="BX25" s="2">
        <v>1</v>
      </c>
      <c r="BY25" s="2" t="s">
        <v>6</v>
      </c>
      <c r="BZ25" s="2">
        <v>95</v>
      </c>
      <c r="CA25" s="2">
        <v>50</v>
      </c>
      <c r="CB25" s="2" t="s">
        <v>6</v>
      </c>
      <c r="CC25" s="2"/>
      <c r="CD25" s="2"/>
      <c r="CE25" s="2">
        <v>0</v>
      </c>
      <c r="CF25" s="2">
        <v>0</v>
      </c>
      <c r="CG25" s="2">
        <v>0</v>
      </c>
      <c r="CH25" s="2"/>
      <c r="CI25" s="2"/>
      <c r="CJ25" s="2"/>
      <c r="CK25" s="2"/>
      <c r="CL25" s="2"/>
      <c r="CM25" s="2">
        <v>0</v>
      </c>
      <c r="CN25" s="2" t="s">
        <v>6</v>
      </c>
      <c r="CO25" s="2">
        <v>0</v>
      </c>
      <c r="CP25" s="2">
        <f t="shared" ref="CP25:CP32" si="28">(P25+Q25+S25)</f>
        <v>10137</v>
      </c>
      <c r="CQ25" s="2">
        <f t="shared" ref="CQ25:CQ32" si="29">AC25*BC25</f>
        <v>0</v>
      </c>
      <c r="CR25" s="2">
        <f t="shared" ref="CR25:CR32" si="30">AD25*BB25</f>
        <v>3167.12</v>
      </c>
      <c r="CS25" s="2">
        <f t="shared" ref="CS25:CS32" si="31">AE25*BS25</f>
        <v>353.32</v>
      </c>
      <c r="CT25" s="2">
        <f t="shared" ref="CT25:CT32" si="32">AF25*BA25</f>
        <v>0</v>
      </c>
      <c r="CU25" s="2">
        <f t="shared" ref="CU25:CX32" si="33">AG25</f>
        <v>0</v>
      </c>
      <c r="CV25" s="2">
        <f t="shared" si="33"/>
        <v>0</v>
      </c>
      <c r="CW25" s="2">
        <f t="shared" si="33"/>
        <v>25.96</v>
      </c>
      <c r="CX25" s="2">
        <f t="shared" si="33"/>
        <v>0</v>
      </c>
      <c r="CY25" s="2">
        <f>(((S25+(R25*IF(0,0,1)))*AT25)/100)</f>
        <v>1074.45</v>
      </c>
      <c r="CZ25" s="2">
        <f>(((S25+(R25*IF(0,0,1)))*AU25)/100)</f>
        <v>565.5</v>
      </c>
      <c r="DA25" s="2"/>
      <c r="DB25" s="2"/>
      <c r="DC25" s="2" t="s">
        <v>6</v>
      </c>
      <c r="DD25" s="2" t="s">
        <v>6</v>
      </c>
      <c r="DE25" s="2" t="s">
        <v>6</v>
      </c>
      <c r="DF25" s="2" t="s">
        <v>6</v>
      </c>
      <c r="DG25" s="2" t="s">
        <v>6</v>
      </c>
      <c r="DH25" s="2" t="s">
        <v>6</v>
      </c>
      <c r="DI25" s="2" t="s">
        <v>6</v>
      </c>
      <c r="DJ25" s="2" t="s">
        <v>6</v>
      </c>
      <c r="DK25" s="2" t="s">
        <v>6</v>
      </c>
      <c r="DL25" s="2" t="s">
        <v>6</v>
      </c>
      <c r="DM25" s="2" t="s">
        <v>6</v>
      </c>
      <c r="DN25" s="2">
        <v>0</v>
      </c>
      <c r="DO25" s="2">
        <v>0</v>
      </c>
      <c r="DP25" s="2">
        <v>1</v>
      </c>
      <c r="DQ25" s="2">
        <v>1</v>
      </c>
      <c r="DR25" s="2"/>
      <c r="DS25" s="2"/>
      <c r="DT25" s="2"/>
      <c r="DU25" s="2">
        <v>1007</v>
      </c>
      <c r="DV25" s="2" t="s">
        <v>20</v>
      </c>
      <c r="DW25" s="2" t="s">
        <v>20</v>
      </c>
      <c r="DX25" s="2">
        <v>1000</v>
      </c>
      <c r="DY25" s="2"/>
      <c r="DZ25" s="2" t="s">
        <v>6</v>
      </c>
      <c r="EA25" s="2" t="s">
        <v>6</v>
      </c>
      <c r="EB25" s="2" t="s">
        <v>6</v>
      </c>
      <c r="EC25" s="2" t="s">
        <v>6</v>
      </c>
      <c r="ED25" s="2"/>
      <c r="EE25" s="2">
        <v>53008004</v>
      </c>
      <c r="EF25" s="2">
        <v>1</v>
      </c>
      <c r="EG25" s="2" t="s">
        <v>22</v>
      </c>
      <c r="EH25" s="2">
        <v>0</v>
      </c>
      <c r="EI25" s="2" t="s">
        <v>6</v>
      </c>
      <c r="EJ25" s="2">
        <v>1</v>
      </c>
      <c r="EK25" s="2">
        <v>1001</v>
      </c>
      <c r="EL25" s="2" t="s">
        <v>23</v>
      </c>
      <c r="EM25" s="2" t="s">
        <v>24</v>
      </c>
      <c r="EN25" s="2"/>
      <c r="EO25" s="2" t="s">
        <v>6</v>
      </c>
      <c r="EP25" s="2"/>
      <c r="EQ25" s="2">
        <v>131072</v>
      </c>
      <c r="ER25" s="2">
        <v>3167.12</v>
      </c>
      <c r="ES25" s="2">
        <v>0</v>
      </c>
      <c r="ET25" s="2">
        <v>3167.12</v>
      </c>
      <c r="EU25" s="2">
        <v>353.32</v>
      </c>
      <c r="EV25" s="2">
        <v>0</v>
      </c>
      <c r="EW25" s="2">
        <v>0</v>
      </c>
      <c r="EX25" s="2">
        <v>25.96</v>
      </c>
      <c r="EY25" s="2">
        <v>0</v>
      </c>
      <c r="EZ25" s="2"/>
      <c r="FA25" s="2"/>
      <c r="FB25" s="2"/>
      <c r="FC25" s="2"/>
      <c r="FD25" s="2"/>
      <c r="FE25" s="2"/>
      <c r="FF25" s="2"/>
      <c r="FG25" s="2"/>
      <c r="FH25" s="2"/>
      <c r="FI25" s="2"/>
      <c r="FJ25" s="2"/>
      <c r="FK25" s="2"/>
      <c r="FL25" s="2"/>
      <c r="FM25" s="2"/>
      <c r="FN25" s="2"/>
      <c r="FO25" s="2"/>
      <c r="FP25" s="2"/>
      <c r="FQ25" s="2">
        <v>0</v>
      </c>
      <c r="FR25" s="2">
        <f t="shared" ref="FR25:FR32" si="34">ROUND(IF(AND(BH25=3,BI25=3),P25,0),0)</f>
        <v>0</v>
      </c>
      <c r="FS25" s="2">
        <v>0</v>
      </c>
      <c r="FT25" s="2"/>
      <c r="FU25" s="2"/>
      <c r="FV25" s="2"/>
      <c r="FW25" s="2"/>
      <c r="FX25" s="2">
        <v>95</v>
      </c>
      <c r="FY25" s="2">
        <v>50</v>
      </c>
      <c r="FZ25" s="2"/>
      <c r="GA25" s="2" t="s">
        <v>6</v>
      </c>
      <c r="GB25" s="2"/>
      <c r="GC25" s="2"/>
      <c r="GD25" s="2">
        <v>1</v>
      </c>
      <c r="GE25" s="2"/>
      <c r="GF25" s="2">
        <v>-603028325</v>
      </c>
      <c r="GG25" s="2">
        <v>2</v>
      </c>
      <c r="GH25" s="2">
        <v>1</v>
      </c>
      <c r="GI25" s="2">
        <v>-2</v>
      </c>
      <c r="GJ25" s="2">
        <v>0</v>
      </c>
      <c r="GK25" s="2">
        <v>0</v>
      </c>
      <c r="GL25" s="2">
        <f t="shared" ref="GL25:GL32" si="35">ROUND(IF(AND(BH25=3,BI25=3,FS25&lt;&gt;0),P25,0),0)</f>
        <v>0</v>
      </c>
      <c r="GM25" s="2">
        <f t="shared" ref="GM25:GM32" si="36">ROUND(O25+X25+Y25,0)+GX25</f>
        <v>11777</v>
      </c>
      <c r="GN25" s="2">
        <f t="shared" ref="GN25:GN32" si="37">IF(OR(BI25=0,BI25=1),ROUND(O25+X25+Y25,0),0)</f>
        <v>11777</v>
      </c>
      <c r="GO25" s="2">
        <f t="shared" ref="GO25:GO32" si="38">IF(BI25=2,ROUND(O25+X25+Y25,0),0)</f>
        <v>0</v>
      </c>
      <c r="GP25" s="2">
        <f t="shared" ref="GP25:GP32" si="39">IF(BI25=4,ROUND(O25+X25+Y25,0)+GX25,0)</f>
        <v>0</v>
      </c>
      <c r="GQ25" s="2"/>
      <c r="GR25" s="2">
        <v>0</v>
      </c>
      <c r="GS25" s="2">
        <v>3</v>
      </c>
      <c r="GT25" s="2">
        <v>0</v>
      </c>
      <c r="GU25" s="2" t="s">
        <v>6</v>
      </c>
      <c r="GV25" s="2">
        <f t="shared" ref="GV25:GV32" si="40">ROUND((GT25),2)</f>
        <v>0</v>
      </c>
      <c r="GW25" s="2">
        <v>1</v>
      </c>
      <c r="GX25" s="2">
        <f t="shared" ref="GX25:GX32" si="41">ROUND(HC25*I25,0)</f>
        <v>0</v>
      </c>
      <c r="GY25" s="2"/>
      <c r="GZ25" s="2"/>
      <c r="HA25" s="2">
        <v>0</v>
      </c>
      <c r="HB25" s="2">
        <v>0</v>
      </c>
      <c r="HC25" s="2">
        <f t="shared" ref="HC25:HC32" si="42">GV25*GW25</f>
        <v>0</v>
      </c>
      <c r="HD25" s="2"/>
      <c r="HE25" s="2" t="s">
        <v>6</v>
      </c>
      <c r="HF25" s="2" t="s">
        <v>6</v>
      </c>
      <c r="HG25" s="2"/>
      <c r="HH25" s="2"/>
      <c r="HI25" s="2"/>
      <c r="HJ25" s="2"/>
      <c r="HK25" s="2"/>
      <c r="HL25" s="2"/>
      <c r="HM25" s="2" t="s">
        <v>6</v>
      </c>
      <c r="HN25" s="2" t="s">
        <v>6</v>
      </c>
      <c r="HO25" s="2" t="s">
        <v>6</v>
      </c>
      <c r="HP25" s="2" t="s">
        <v>6</v>
      </c>
      <c r="HQ25" s="2" t="s">
        <v>6</v>
      </c>
      <c r="HR25" s="2"/>
      <c r="HS25" s="2"/>
      <c r="HT25" s="2"/>
      <c r="HU25" s="2"/>
      <c r="HV25" s="2"/>
      <c r="HW25" s="2"/>
      <c r="HX25" s="2"/>
      <c r="HY25" s="2"/>
      <c r="HZ25" s="2"/>
      <c r="IA25" s="2"/>
      <c r="IB25" s="2"/>
      <c r="IC25" s="2"/>
      <c r="ID25" s="2"/>
      <c r="IE25" s="2"/>
      <c r="IF25" s="2">
        <v>-1</v>
      </c>
      <c r="IG25" s="2"/>
      <c r="IH25" s="2"/>
      <c r="II25" s="2"/>
      <c r="IJ25" s="2"/>
      <c r="IK25" s="2">
        <v>0</v>
      </c>
      <c r="IL25" s="2" t="s">
        <v>207</v>
      </c>
      <c r="IM25" s="2">
        <v>3.2006999999999999</v>
      </c>
      <c r="IN25" s="2"/>
      <c r="IO25" s="2"/>
      <c r="IP25" s="2"/>
      <c r="IQ25" s="2"/>
      <c r="IR25" s="2"/>
      <c r="IS25" s="2"/>
      <c r="IT25" s="2"/>
      <c r="IU25" s="2"/>
    </row>
    <row r="26" spans="1:255" x14ac:dyDescent="0.2">
      <c r="A26">
        <v>17</v>
      </c>
      <c r="B26">
        <v>1</v>
      </c>
      <c r="C26">
        <f>ROW(SmtRes!A4)</f>
        <v>4</v>
      </c>
      <c r="D26">
        <f>ROW(EtalonRes!A4)</f>
        <v>4</v>
      </c>
      <c r="E26" t="s">
        <v>17</v>
      </c>
      <c r="F26" t="s">
        <v>18</v>
      </c>
      <c r="G26" t="s">
        <v>19</v>
      </c>
      <c r="H26" t="s">
        <v>20</v>
      </c>
      <c r="I26">
        <f>'2.Лок.смета.и.Акт в ЕР'!E50</f>
        <v>3.2006999999999999</v>
      </c>
      <c r="J26">
        <v>0</v>
      </c>
      <c r="K26">
        <f>ROUND(3200.7/1000,9)</f>
        <v>3.2006999999999999</v>
      </c>
      <c r="O26">
        <f t="shared" si="14"/>
        <v>64978</v>
      </c>
      <c r="P26">
        <f t="shared" si="15"/>
        <v>0</v>
      </c>
      <c r="Q26">
        <f t="shared" si="16"/>
        <v>64978</v>
      </c>
      <c r="R26">
        <f t="shared" si="17"/>
        <v>20729</v>
      </c>
      <c r="S26">
        <f t="shared" si="18"/>
        <v>0</v>
      </c>
      <c r="T26">
        <f t="shared" si="19"/>
        <v>0</v>
      </c>
      <c r="U26">
        <f t="shared" si="20"/>
        <v>0</v>
      </c>
      <c r="V26">
        <f t="shared" si="21"/>
        <v>83.090171999999995</v>
      </c>
      <c r="W26">
        <f t="shared" si="22"/>
        <v>0</v>
      </c>
      <c r="X26">
        <f t="shared" si="23"/>
        <v>18656</v>
      </c>
      <c r="Y26">
        <f t="shared" si="23"/>
        <v>8913</v>
      </c>
      <c r="AA26">
        <v>62803416</v>
      </c>
      <c r="AB26">
        <f t="shared" si="24"/>
        <v>3167.12</v>
      </c>
      <c r="AC26">
        <f>ROUND((ES26),2)</f>
        <v>0</v>
      </c>
      <c r="AD26">
        <f>ROUND((((ET26)-(EU26))+AE26),2)</f>
        <v>3167.12</v>
      </c>
      <c r="AE26">
        <f>ROUND((EU26),2)</f>
        <v>353.32</v>
      </c>
      <c r="AF26">
        <f>ROUND((EV26),2)</f>
        <v>0</v>
      </c>
      <c r="AG26">
        <f t="shared" si="25"/>
        <v>0</v>
      </c>
      <c r="AH26">
        <f t="shared" si="26"/>
        <v>0</v>
      </c>
      <c r="AI26">
        <f t="shared" si="26"/>
        <v>25.96</v>
      </c>
      <c r="AJ26">
        <f t="shared" si="27"/>
        <v>0</v>
      </c>
      <c r="AK26" s="77">
        <f>AL26+AM26+AO26</f>
        <v>3167.12</v>
      </c>
      <c r="AL26">
        <v>0</v>
      </c>
      <c r="AM26" s="77">
        <f>'2.Лок.смета.и.Акт в ЕР'!F52</f>
        <v>3167.12</v>
      </c>
      <c r="AN26" s="77">
        <f>'2.Лок.смета.и.Акт в ЕР'!F53</f>
        <v>353.32</v>
      </c>
      <c r="AO26">
        <v>0</v>
      </c>
      <c r="AP26">
        <v>0</v>
      </c>
      <c r="AQ26">
        <v>0</v>
      </c>
      <c r="AR26">
        <v>25.96</v>
      </c>
      <c r="AS26">
        <v>0</v>
      </c>
      <c r="AT26">
        <v>90</v>
      </c>
      <c r="AU26">
        <v>43</v>
      </c>
      <c r="AV26">
        <v>1</v>
      </c>
      <c r="AW26">
        <v>1</v>
      </c>
      <c r="AZ26">
        <v>1</v>
      </c>
      <c r="BA26">
        <v>25.33</v>
      </c>
      <c r="BB26">
        <f>'2.Лок.смета.и.Акт в ЕР'!J52</f>
        <v>6.41</v>
      </c>
      <c r="BC26">
        <v>7.56</v>
      </c>
      <c r="BD26" t="s">
        <v>6</v>
      </c>
      <c r="BE26" t="s">
        <v>6</v>
      </c>
      <c r="BF26" t="s">
        <v>6</v>
      </c>
      <c r="BG26" t="s">
        <v>6</v>
      </c>
      <c r="BH26">
        <v>0</v>
      </c>
      <c r="BI26">
        <v>1</v>
      </c>
      <c r="BJ26" t="s">
        <v>21</v>
      </c>
      <c r="BM26">
        <v>1001</v>
      </c>
      <c r="BN26">
        <v>0</v>
      </c>
      <c r="BO26" t="s">
        <v>18</v>
      </c>
      <c r="BP26">
        <v>1</v>
      </c>
      <c r="BQ26">
        <v>1</v>
      </c>
      <c r="BR26">
        <v>0</v>
      </c>
      <c r="BS26">
        <f>'2.Лок.смета.и.Акт в ЕР'!J53</f>
        <v>18.329999999999998</v>
      </c>
      <c r="BT26">
        <v>1</v>
      </c>
      <c r="BU26">
        <v>1</v>
      </c>
      <c r="BV26">
        <v>1</v>
      </c>
      <c r="BW26">
        <v>1</v>
      </c>
      <c r="BX26">
        <v>1</v>
      </c>
      <c r="BY26" t="s">
        <v>6</v>
      </c>
      <c r="BZ26">
        <v>90</v>
      </c>
      <c r="CA26">
        <v>43</v>
      </c>
      <c r="CB26" t="s">
        <v>6</v>
      </c>
      <c r="CE26">
        <v>0</v>
      </c>
      <c r="CF26">
        <v>0</v>
      </c>
      <c r="CG26">
        <v>0</v>
      </c>
      <c r="CM26">
        <v>0</v>
      </c>
      <c r="CN26" t="s">
        <v>6</v>
      </c>
      <c r="CO26">
        <v>0</v>
      </c>
      <c r="CP26">
        <f t="shared" si="28"/>
        <v>64978</v>
      </c>
      <c r="CQ26">
        <f t="shared" si="29"/>
        <v>0</v>
      </c>
      <c r="CR26">
        <f t="shared" si="30"/>
        <v>20301.2392</v>
      </c>
      <c r="CS26">
        <f t="shared" si="31"/>
        <v>6476.355599999999</v>
      </c>
      <c r="CT26">
        <f t="shared" si="32"/>
        <v>0</v>
      </c>
      <c r="CU26">
        <f t="shared" si="33"/>
        <v>0</v>
      </c>
      <c r="CV26">
        <f t="shared" si="33"/>
        <v>0</v>
      </c>
      <c r="CW26">
        <f t="shared" si="33"/>
        <v>25.96</v>
      </c>
      <c r="CX26">
        <f t="shared" si="33"/>
        <v>0</v>
      </c>
      <c r="CY26">
        <f>(S26+R26)*(BZ26/100)</f>
        <v>18656.100000000002</v>
      </c>
      <c r="CZ26">
        <f>(S26+R26)*(CA26/100)</f>
        <v>8913.4699999999993</v>
      </c>
      <c r="DC26" t="s">
        <v>6</v>
      </c>
      <c r="DD26" t="s">
        <v>6</v>
      </c>
      <c r="DE26" t="s">
        <v>6</v>
      </c>
      <c r="DF26" t="s">
        <v>6</v>
      </c>
      <c r="DG26" t="s">
        <v>6</v>
      </c>
      <c r="DH26" t="s">
        <v>6</v>
      </c>
      <c r="DI26" t="s">
        <v>6</v>
      </c>
      <c r="DJ26" t="s">
        <v>6</v>
      </c>
      <c r="DK26" t="s">
        <v>6</v>
      </c>
      <c r="DL26" t="s">
        <v>6</v>
      </c>
      <c r="DM26" t="s">
        <v>6</v>
      </c>
      <c r="DN26">
        <f>'2.Лок.смета.и.Акт в ЕР'!E54</f>
        <v>95</v>
      </c>
      <c r="DO26">
        <f>'2.Лок.смета.и.Акт в ЕР'!E55</f>
        <v>50</v>
      </c>
      <c r="DP26">
        <v>1</v>
      </c>
      <c r="DQ26">
        <v>1</v>
      </c>
      <c r="DU26">
        <v>1007</v>
      </c>
      <c r="DV26" t="s">
        <v>20</v>
      </c>
      <c r="DW26" t="str">
        <f>'2.Лок.смета.и.Акт в ЕР'!D50</f>
        <v>1000 м3 грунта</v>
      </c>
      <c r="DX26">
        <v>1000</v>
      </c>
      <c r="DZ26" t="s">
        <v>6</v>
      </c>
      <c r="EA26" t="s">
        <v>6</v>
      </c>
      <c r="EB26" t="s">
        <v>6</v>
      </c>
      <c r="EC26" t="s">
        <v>6</v>
      </c>
      <c r="EE26">
        <v>53008004</v>
      </c>
      <c r="EF26">
        <v>1</v>
      </c>
      <c r="EG26" t="s">
        <v>22</v>
      </c>
      <c r="EH26">
        <v>0</v>
      </c>
      <c r="EI26" t="s">
        <v>6</v>
      </c>
      <c r="EJ26">
        <v>1</v>
      </c>
      <c r="EK26">
        <v>1001</v>
      </c>
      <c r="EL26" t="s">
        <v>23</v>
      </c>
      <c r="EM26" t="s">
        <v>24</v>
      </c>
      <c r="EO26" t="s">
        <v>6</v>
      </c>
      <c r="EQ26">
        <v>131072</v>
      </c>
      <c r="ER26" s="77">
        <f>ES26+ET26+EV26</f>
        <v>3167.12</v>
      </c>
      <c r="ES26">
        <v>0</v>
      </c>
      <c r="ET26" s="77">
        <f>'2.Лок.смета.и.Акт в ЕР'!F52</f>
        <v>3167.12</v>
      </c>
      <c r="EU26" s="77">
        <f>'2.Лок.смета.и.Акт в ЕР'!F53</f>
        <v>353.32</v>
      </c>
      <c r="EV26">
        <v>0</v>
      </c>
      <c r="EW26">
        <v>0</v>
      </c>
      <c r="EX26">
        <v>25.96</v>
      </c>
      <c r="EY26">
        <v>0</v>
      </c>
      <c r="FQ26">
        <v>0</v>
      </c>
      <c r="FR26">
        <f t="shared" si="34"/>
        <v>0</v>
      </c>
      <c r="FS26">
        <v>0</v>
      </c>
      <c r="FX26">
        <v>95</v>
      </c>
      <c r="FY26">
        <v>50</v>
      </c>
      <c r="GA26" t="s">
        <v>6</v>
      </c>
      <c r="GD26">
        <v>1</v>
      </c>
      <c r="GF26">
        <v>-603028325</v>
      </c>
      <c r="GG26">
        <v>2</v>
      </c>
      <c r="GH26">
        <v>1</v>
      </c>
      <c r="GI26">
        <v>2</v>
      </c>
      <c r="GJ26">
        <v>0</v>
      </c>
      <c r="GK26">
        <v>0</v>
      </c>
      <c r="GL26">
        <f t="shared" si="35"/>
        <v>0</v>
      </c>
      <c r="GM26">
        <f t="shared" si="36"/>
        <v>92547</v>
      </c>
      <c r="GN26">
        <f t="shared" si="37"/>
        <v>92547</v>
      </c>
      <c r="GO26">
        <f t="shared" si="38"/>
        <v>0</v>
      </c>
      <c r="GP26">
        <f t="shared" si="39"/>
        <v>0</v>
      </c>
      <c r="GR26">
        <v>0</v>
      </c>
      <c r="GS26">
        <v>3</v>
      </c>
      <c r="GT26">
        <v>0</v>
      </c>
      <c r="GU26" t="s">
        <v>6</v>
      </c>
      <c r="GV26">
        <f t="shared" si="40"/>
        <v>0</v>
      </c>
      <c r="GW26">
        <v>1010.1</v>
      </c>
      <c r="GX26">
        <f t="shared" si="41"/>
        <v>0</v>
      </c>
      <c r="HA26">
        <v>0</v>
      </c>
      <c r="HB26">
        <v>0</v>
      </c>
      <c r="HC26">
        <f t="shared" si="42"/>
        <v>0</v>
      </c>
      <c r="HE26" t="s">
        <v>6</v>
      </c>
      <c r="HF26" t="s">
        <v>6</v>
      </c>
      <c r="HM26" t="s">
        <v>6</v>
      </c>
      <c r="HN26" t="s">
        <v>6</v>
      </c>
      <c r="HO26" t="s">
        <v>6</v>
      </c>
      <c r="HP26" t="s">
        <v>6</v>
      </c>
      <c r="HQ26" t="s">
        <v>6</v>
      </c>
      <c r="IF26">
        <v>-1</v>
      </c>
      <c r="IK26">
        <v>0</v>
      </c>
      <c r="IL26" t="s">
        <v>207</v>
      </c>
      <c r="IM26">
        <v>3.2006999999999999</v>
      </c>
    </row>
    <row r="27" spans="1:255" x14ac:dyDescent="0.2">
      <c r="A27" s="2">
        <v>17</v>
      </c>
      <c r="B27" s="2">
        <v>1</v>
      </c>
      <c r="C27" s="2">
        <f>ROW(SmtRes!A5)</f>
        <v>5</v>
      </c>
      <c r="D27" s="2">
        <f>ROW(EtalonRes!A5)</f>
        <v>5</v>
      </c>
      <c r="E27" s="2" t="s">
        <v>25</v>
      </c>
      <c r="F27" s="2" t="s">
        <v>26</v>
      </c>
      <c r="G27" s="2" t="s">
        <v>27</v>
      </c>
      <c r="H27" s="2" t="s">
        <v>28</v>
      </c>
      <c r="I27" s="2">
        <f>'2.Лок.смета.и.Акт в ЕР'!E58</f>
        <v>5505.2039999999997</v>
      </c>
      <c r="J27" s="2">
        <v>0</v>
      </c>
      <c r="K27" s="2">
        <f>ROUND(2240.49*1.75+960.21*1.65,9)</f>
        <v>5505.2039999999997</v>
      </c>
      <c r="L27" s="2"/>
      <c r="M27" s="2"/>
      <c r="N27" s="2"/>
      <c r="O27" s="2">
        <f t="shared" si="14"/>
        <v>16406</v>
      </c>
      <c r="P27" s="2">
        <f t="shared" si="15"/>
        <v>0</v>
      </c>
      <c r="Q27" s="2">
        <f t="shared" si="16"/>
        <v>16406</v>
      </c>
      <c r="R27" s="2">
        <f t="shared" si="17"/>
        <v>0</v>
      </c>
      <c r="S27" s="2">
        <f t="shared" si="18"/>
        <v>0</v>
      </c>
      <c r="T27" s="2">
        <f t="shared" si="19"/>
        <v>0</v>
      </c>
      <c r="U27" s="2">
        <f t="shared" si="20"/>
        <v>0</v>
      </c>
      <c r="V27" s="2">
        <f t="shared" si="21"/>
        <v>0</v>
      </c>
      <c r="W27" s="2">
        <f t="shared" si="22"/>
        <v>0</v>
      </c>
      <c r="X27" s="2">
        <f t="shared" si="23"/>
        <v>0</v>
      </c>
      <c r="Y27" s="2">
        <f t="shared" si="23"/>
        <v>0</v>
      </c>
      <c r="Z27" s="2"/>
      <c r="AA27" s="2">
        <v>62803415</v>
      </c>
      <c r="AB27" s="2">
        <f t="shared" si="24"/>
        <v>2.98</v>
      </c>
      <c r="AC27" s="2">
        <f>ROUND((ES27),2)</f>
        <v>0</v>
      </c>
      <c r="AD27" s="2">
        <f>ROUND(((ET27)+ROUND(((EU27)*1.85),2)),2)</f>
        <v>2.98</v>
      </c>
      <c r="AE27" s="2">
        <f>ROUND(((EU27)+ROUND(((EU27)*1.85),2)),2)</f>
        <v>0</v>
      </c>
      <c r="AF27" s="2">
        <f>ROUND(((EV27)+ROUND(((EV27)*1.85),2)),2)</f>
        <v>0</v>
      </c>
      <c r="AG27" s="2">
        <f t="shared" si="25"/>
        <v>0</v>
      </c>
      <c r="AH27" s="2">
        <f t="shared" si="26"/>
        <v>0</v>
      </c>
      <c r="AI27" s="2">
        <f t="shared" si="26"/>
        <v>0</v>
      </c>
      <c r="AJ27" s="2">
        <f t="shared" si="27"/>
        <v>0</v>
      </c>
      <c r="AK27" s="2">
        <v>2.98</v>
      </c>
      <c r="AL27" s="2">
        <v>0</v>
      </c>
      <c r="AM27" s="2">
        <v>2.98</v>
      </c>
      <c r="AN27" s="2">
        <v>0</v>
      </c>
      <c r="AO27" s="2">
        <v>0</v>
      </c>
      <c r="AP27" s="2">
        <v>0</v>
      </c>
      <c r="AQ27" s="2">
        <v>0</v>
      </c>
      <c r="AR27" s="2">
        <v>0</v>
      </c>
      <c r="AS27" s="2">
        <v>0</v>
      </c>
      <c r="AT27" s="2">
        <v>0</v>
      </c>
      <c r="AU27" s="2">
        <v>0</v>
      </c>
      <c r="AV27" s="2">
        <v>1</v>
      </c>
      <c r="AW27" s="2">
        <v>1</v>
      </c>
      <c r="AX27" s="2"/>
      <c r="AY27" s="2"/>
      <c r="AZ27" s="2">
        <v>1</v>
      </c>
      <c r="BA27" s="2">
        <v>1</v>
      </c>
      <c r="BB27" s="2">
        <v>1</v>
      </c>
      <c r="BC27" s="2">
        <v>1</v>
      </c>
      <c r="BD27" s="2" t="s">
        <v>6</v>
      </c>
      <c r="BE27" s="2" t="s">
        <v>6</v>
      </c>
      <c r="BF27" s="2" t="s">
        <v>6</v>
      </c>
      <c r="BG27" s="2" t="s">
        <v>6</v>
      </c>
      <c r="BH27" s="2">
        <v>0</v>
      </c>
      <c r="BI27" s="2">
        <v>1</v>
      </c>
      <c r="BJ27" s="2" t="s">
        <v>29</v>
      </c>
      <c r="BK27" s="2"/>
      <c r="BL27" s="2"/>
      <c r="BM27" s="2">
        <v>700001</v>
      </c>
      <c r="BN27" s="2">
        <v>0</v>
      </c>
      <c r="BO27" s="2" t="s">
        <v>6</v>
      </c>
      <c r="BP27" s="2">
        <v>0</v>
      </c>
      <c r="BQ27" s="2">
        <v>43</v>
      </c>
      <c r="BR27" s="2">
        <v>0</v>
      </c>
      <c r="BS27" s="2">
        <v>1</v>
      </c>
      <c r="BT27" s="2">
        <v>1</v>
      </c>
      <c r="BU27" s="2">
        <v>1</v>
      </c>
      <c r="BV27" s="2">
        <v>1</v>
      </c>
      <c r="BW27" s="2">
        <v>1</v>
      </c>
      <c r="BX27" s="2">
        <v>1</v>
      </c>
      <c r="BY27" s="2" t="s">
        <v>6</v>
      </c>
      <c r="BZ27" s="2">
        <v>0</v>
      </c>
      <c r="CA27" s="2">
        <v>0</v>
      </c>
      <c r="CB27" s="2" t="s">
        <v>6</v>
      </c>
      <c r="CC27" s="2"/>
      <c r="CD27" s="2"/>
      <c r="CE27" s="2">
        <v>0</v>
      </c>
      <c r="CF27" s="2">
        <v>0</v>
      </c>
      <c r="CG27" s="2">
        <v>0</v>
      </c>
      <c r="CH27" s="2"/>
      <c r="CI27" s="2"/>
      <c r="CJ27" s="2"/>
      <c r="CK27" s="2"/>
      <c r="CL27" s="2"/>
      <c r="CM27" s="2">
        <v>0</v>
      </c>
      <c r="CN27" s="2" t="s">
        <v>6</v>
      </c>
      <c r="CO27" s="2">
        <v>0</v>
      </c>
      <c r="CP27" s="2">
        <f t="shared" si="28"/>
        <v>16406</v>
      </c>
      <c r="CQ27" s="2">
        <f t="shared" si="29"/>
        <v>0</v>
      </c>
      <c r="CR27" s="2">
        <f t="shared" si="30"/>
        <v>2.98</v>
      </c>
      <c r="CS27" s="2">
        <f t="shared" si="31"/>
        <v>0</v>
      </c>
      <c r="CT27" s="2">
        <f t="shared" si="32"/>
        <v>0</v>
      </c>
      <c r="CU27" s="2">
        <f t="shared" si="33"/>
        <v>0</v>
      </c>
      <c r="CV27" s="2">
        <f t="shared" si="33"/>
        <v>0</v>
      </c>
      <c r="CW27" s="2">
        <f t="shared" si="33"/>
        <v>0</v>
      </c>
      <c r="CX27" s="2">
        <f t="shared" si="33"/>
        <v>0</v>
      </c>
      <c r="CY27" s="2">
        <f>(((S27+(R27*IF(0,0,1)))*AT27)/100)</f>
        <v>0</v>
      </c>
      <c r="CZ27" s="2">
        <f>(((S27+(R27*IF(0,0,1)))*AU27)/100)</f>
        <v>0</v>
      </c>
      <c r="DA27" s="2"/>
      <c r="DB27" s="2"/>
      <c r="DC27" s="2" t="s">
        <v>6</v>
      </c>
      <c r="DD27" s="2" t="s">
        <v>6</v>
      </c>
      <c r="DE27" s="2" t="s">
        <v>6</v>
      </c>
      <c r="DF27" s="2" t="s">
        <v>6</v>
      </c>
      <c r="DG27" s="2" t="s">
        <v>6</v>
      </c>
      <c r="DH27" s="2" t="s">
        <v>6</v>
      </c>
      <c r="DI27" s="2" t="s">
        <v>6</v>
      </c>
      <c r="DJ27" s="2" t="s">
        <v>6</v>
      </c>
      <c r="DK27" s="2" t="s">
        <v>6</v>
      </c>
      <c r="DL27" s="2" t="s">
        <v>6</v>
      </c>
      <c r="DM27" s="2" t="s">
        <v>6</v>
      </c>
      <c r="DN27" s="2">
        <v>0</v>
      </c>
      <c r="DO27" s="2">
        <v>0</v>
      </c>
      <c r="DP27" s="2">
        <v>1</v>
      </c>
      <c r="DQ27" s="2">
        <v>1</v>
      </c>
      <c r="DR27" s="2"/>
      <c r="DS27" s="2"/>
      <c r="DT27" s="2"/>
      <c r="DU27" s="2">
        <v>1013</v>
      </c>
      <c r="DV27" s="2" t="s">
        <v>28</v>
      </c>
      <c r="DW27" s="2" t="s">
        <v>28</v>
      </c>
      <c r="DX27" s="2">
        <v>1</v>
      </c>
      <c r="DY27" s="2"/>
      <c r="DZ27" s="2" t="s">
        <v>6</v>
      </c>
      <c r="EA27" s="2" t="s">
        <v>6</v>
      </c>
      <c r="EB27" s="2" t="s">
        <v>6</v>
      </c>
      <c r="EC27" s="2" t="s">
        <v>6</v>
      </c>
      <c r="ED27" s="2"/>
      <c r="EE27" s="2">
        <v>53008220</v>
      </c>
      <c r="EF27" s="2">
        <v>43</v>
      </c>
      <c r="EG27" s="2" t="s">
        <v>30</v>
      </c>
      <c r="EH27" s="2">
        <v>0</v>
      </c>
      <c r="EI27" s="2" t="s">
        <v>6</v>
      </c>
      <c r="EJ27" s="2">
        <v>1</v>
      </c>
      <c r="EK27" s="2">
        <v>700001</v>
      </c>
      <c r="EL27" s="2" t="s">
        <v>31</v>
      </c>
      <c r="EM27" s="2" t="s">
        <v>32</v>
      </c>
      <c r="EN27" s="2"/>
      <c r="EO27" s="2" t="s">
        <v>6</v>
      </c>
      <c r="EP27" s="2"/>
      <c r="EQ27" s="2">
        <v>131072</v>
      </c>
      <c r="ER27" s="2">
        <v>2.98</v>
      </c>
      <c r="ES27" s="2">
        <v>0</v>
      </c>
      <c r="ET27" s="2">
        <v>2.98</v>
      </c>
      <c r="EU27" s="2">
        <v>0</v>
      </c>
      <c r="EV27" s="2">
        <v>0</v>
      </c>
      <c r="EW27" s="2">
        <v>0</v>
      </c>
      <c r="EX27" s="2">
        <v>0</v>
      </c>
      <c r="EY27" s="2">
        <v>0</v>
      </c>
      <c r="EZ27" s="2"/>
      <c r="FA27" s="2"/>
      <c r="FB27" s="2"/>
      <c r="FC27" s="2"/>
      <c r="FD27" s="2"/>
      <c r="FE27" s="2"/>
      <c r="FF27" s="2"/>
      <c r="FG27" s="2"/>
      <c r="FH27" s="2"/>
      <c r="FI27" s="2"/>
      <c r="FJ27" s="2"/>
      <c r="FK27" s="2"/>
      <c r="FL27" s="2"/>
      <c r="FM27" s="2"/>
      <c r="FN27" s="2"/>
      <c r="FO27" s="2"/>
      <c r="FP27" s="2"/>
      <c r="FQ27" s="2">
        <v>0</v>
      </c>
      <c r="FR27" s="2">
        <f t="shared" si="34"/>
        <v>0</v>
      </c>
      <c r="FS27" s="2">
        <v>0</v>
      </c>
      <c r="FT27" s="2"/>
      <c r="FU27" s="2"/>
      <c r="FV27" s="2"/>
      <c r="FW27" s="2"/>
      <c r="FX27" s="2">
        <v>0</v>
      </c>
      <c r="FY27" s="2">
        <v>0</v>
      </c>
      <c r="FZ27" s="2"/>
      <c r="GA27" s="2" t="s">
        <v>6</v>
      </c>
      <c r="GB27" s="2"/>
      <c r="GC27" s="2"/>
      <c r="GD27" s="2">
        <v>1</v>
      </c>
      <c r="GE27" s="2"/>
      <c r="GF27" s="2">
        <v>-1610609934</v>
      </c>
      <c r="GG27" s="2">
        <v>2</v>
      </c>
      <c r="GH27" s="2">
        <v>1</v>
      </c>
      <c r="GI27" s="2">
        <v>-2</v>
      </c>
      <c r="GJ27" s="2">
        <v>0</v>
      </c>
      <c r="GK27" s="2">
        <v>0</v>
      </c>
      <c r="GL27" s="2">
        <f t="shared" si="35"/>
        <v>0</v>
      </c>
      <c r="GM27" s="2">
        <f t="shared" si="36"/>
        <v>16406</v>
      </c>
      <c r="GN27" s="2">
        <f t="shared" si="37"/>
        <v>16406</v>
      </c>
      <c r="GO27" s="2">
        <f t="shared" si="38"/>
        <v>0</v>
      </c>
      <c r="GP27" s="2">
        <f t="shared" si="39"/>
        <v>0</v>
      </c>
      <c r="GQ27" s="2"/>
      <c r="GR27" s="2">
        <v>0</v>
      </c>
      <c r="GS27" s="2">
        <v>3</v>
      </c>
      <c r="GT27" s="2">
        <v>0</v>
      </c>
      <c r="GU27" s="2" t="s">
        <v>6</v>
      </c>
      <c r="GV27" s="2">
        <f t="shared" si="40"/>
        <v>0</v>
      </c>
      <c r="GW27" s="2">
        <v>1</v>
      </c>
      <c r="GX27" s="2">
        <f t="shared" si="41"/>
        <v>0</v>
      </c>
      <c r="GY27" s="2"/>
      <c r="GZ27" s="2"/>
      <c r="HA27" s="2">
        <v>0</v>
      </c>
      <c r="HB27" s="2">
        <v>0</v>
      </c>
      <c r="HC27" s="2">
        <f t="shared" si="42"/>
        <v>0</v>
      </c>
      <c r="HD27" s="2">
        <f>GM27</f>
        <v>16406</v>
      </c>
      <c r="HE27" s="2" t="s">
        <v>6</v>
      </c>
      <c r="HF27" s="2" t="s">
        <v>6</v>
      </c>
      <c r="HG27" s="2"/>
      <c r="HH27" s="2"/>
      <c r="HI27" s="2"/>
      <c r="HJ27" s="2"/>
      <c r="HK27" s="2"/>
      <c r="HL27" s="2"/>
      <c r="HM27" s="2" t="s">
        <v>6</v>
      </c>
      <c r="HN27" s="2" t="s">
        <v>6</v>
      </c>
      <c r="HO27" s="2" t="s">
        <v>6</v>
      </c>
      <c r="HP27" s="2" t="s">
        <v>6</v>
      </c>
      <c r="HQ27" s="2" t="s">
        <v>6</v>
      </c>
      <c r="HR27" s="2"/>
      <c r="HS27" s="2"/>
      <c r="HT27" s="2"/>
      <c r="HU27" s="2"/>
      <c r="HV27" s="2"/>
      <c r="HW27" s="2"/>
      <c r="HX27" s="2"/>
      <c r="HY27" s="2"/>
      <c r="HZ27" s="2"/>
      <c r="IA27" s="2"/>
      <c r="IB27" s="2"/>
      <c r="IC27" s="2"/>
      <c r="ID27" s="2"/>
      <c r="IE27" s="2"/>
      <c r="IF27" s="2">
        <v>-1</v>
      </c>
      <c r="IG27" s="2"/>
      <c r="IH27" s="2"/>
      <c r="II27" s="2"/>
      <c r="IJ27" s="2"/>
      <c r="IK27" s="2">
        <v>0</v>
      </c>
      <c r="IL27" s="2" t="s">
        <v>208</v>
      </c>
      <c r="IM27" s="2">
        <v>5505.2039999999997</v>
      </c>
      <c r="IN27" s="2"/>
      <c r="IO27" s="2"/>
      <c r="IP27" s="2"/>
      <c r="IQ27" s="2"/>
      <c r="IR27" s="2"/>
      <c r="IS27" s="2"/>
      <c r="IT27" s="2"/>
      <c r="IU27" s="2"/>
    </row>
    <row r="28" spans="1:255" x14ac:dyDescent="0.2">
      <c r="A28">
        <v>17</v>
      </c>
      <c r="B28">
        <v>1</v>
      </c>
      <c r="C28">
        <f>ROW(SmtRes!A6)</f>
        <v>6</v>
      </c>
      <c r="D28">
        <f>ROW(EtalonRes!A6)</f>
        <v>6</v>
      </c>
      <c r="E28" t="s">
        <v>25</v>
      </c>
      <c r="F28" t="s">
        <v>26</v>
      </c>
      <c r="G28" t="s">
        <v>27</v>
      </c>
      <c r="H28" t="s">
        <v>28</v>
      </c>
      <c r="I28">
        <f>'2.Лок.смета.и.Акт в ЕР'!E58</f>
        <v>5505.2039999999997</v>
      </c>
      <c r="J28">
        <v>0</v>
      </c>
      <c r="K28">
        <f>ROUND(2240.49*1.75+960.21*1.65,9)</f>
        <v>5505.2039999999997</v>
      </c>
      <c r="O28">
        <f t="shared" si="14"/>
        <v>116807</v>
      </c>
      <c r="P28">
        <f t="shared" si="15"/>
        <v>0</v>
      </c>
      <c r="Q28">
        <f t="shared" si="16"/>
        <v>116807</v>
      </c>
      <c r="R28">
        <f t="shared" si="17"/>
        <v>0</v>
      </c>
      <c r="S28">
        <f t="shared" si="18"/>
        <v>0</v>
      </c>
      <c r="T28">
        <f t="shared" si="19"/>
        <v>0</v>
      </c>
      <c r="U28">
        <f t="shared" si="20"/>
        <v>0</v>
      </c>
      <c r="V28">
        <f t="shared" si="21"/>
        <v>0</v>
      </c>
      <c r="W28">
        <f t="shared" si="22"/>
        <v>0</v>
      </c>
      <c r="X28">
        <f t="shared" si="23"/>
        <v>0</v>
      </c>
      <c r="Y28">
        <f t="shared" si="23"/>
        <v>0</v>
      </c>
      <c r="AA28">
        <v>62803416</v>
      </c>
      <c r="AB28">
        <f t="shared" si="24"/>
        <v>2.98</v>
      </c>
      <c r="AC28">
        <f>ROUND((ES28),2)</f>
        <v>0</v>
      </c>
      <c r="AD28">
        <f>ROUND(((ET28)+ROUND(((EU28)*1.85),2)),2)</f>
        <v>2.98</v>
      </c>
      <c r="AE28">
        <f>ROUND(((EU28)+ROUND(((EU28)*1.85),2)),2)</f>
        <v>0</v>
      </c>
      <c r="AF28">
        <f>ROUND(((EV28)+ROUND(((EV28)*1.85),2)),2)</f>
        <v>0</v>
      </c>
      <c r="AG28">
        <f t="shared" si="25"/>
        <v>0</v>
      </c>
      <c r="AH28">
        <f t="shared" si="26"/>
        <v>0</v>
      </c>
      <c r="AI28">
        <f t="shared" si="26"/>
        <v>0</v>
      </c>
      <c r="AJ28">
        <f t="shared" si="27"/>
        <v>0</v>
      </c>
      <c r="AK28" s="77">
        <f>AL28+AM28+AO28</f>
        <v>2.98</v>
      </c>
      <c r="AL28">
        <v>0</v>
      </c>
      <c r="AM28" s="77">
        <f>'2.Лок.смета.и.Акт в ЕР'!F60</f>
        <v>2.98</v>
      </c>
      <c r="AN28">
        <v>0</v>
      </c>
      <c r="AO28">
        <v>0</v>
      </c>
      <c r="AP28">
        <v>0</v>
      </c>
      <c r="AQ28">
        <v>0</v>
      </c>
      <c r="AR28">
        <v>0</v>
      </c>
      <c r="AS28">
        <v>0</v>
      </c>
      <c r="AT28">
        <v>0</v>
      </c>
      <c r="AU28">
        <v>0</v>
      </c>
      <c r="AV28">
        <v>1</v>
      </c>
      <c r="AW28">
        <v>1</v>
      </c>
      <c r="AZ28">
        <v>1</v>
      </c>
      <c r="BA28">
        <v>1</v>
      </c>
      <c r="BB28">
        <f>'2.Лок.смета.и.Акт в ЕР'!J60</f>
        <v>7.12</v>
      </c>
      <c r="BC28">
        <v>1</v>
      </c>
      <c r="BD28" t="s">
        <v>6</v>
      </c>
      <c r="BE28" t="s">
        <v>6</v>
      </c>
      <c r="BF28" t="s">
        <v>6</v>
      </c>
      <c r="BG28" t="s">
        <v>6</v>
      </c>
      <c r="BH28">
        <v>0</v>
      </c>
      <c r="BI28">
        <v>1</v>
      </c>
      <c r="BJ28" t="s">
        <v>29</v>
      </c>
      <c r="BM28">
        <v>700001</v>
      </c>
      <c r="BN28">
        <v>0</v>
      </c>
      <c r="BO28" t="s">
        <v>6</v>
      </c>
      <c r="BP28">
        <v>0</v>
      </c>
      <c r="BQ28">
        <v>43</v>
      </c>
      <c r="BR28">
        <v>0</v>
      </c>
      <c r="BS28">
        <v>18.329999999999998</v>
      </c>
      <c r="BT28">
        <v>1</v>
      </c>
      <c r="BU28">
        <v>1</v>
      </c>
      <c r="BV28">
        <v>1</v>
      </c>
      <c r="BW28">
        <v>1</v>
      </c>
      <c r="BX28">
        <v>1</v>
      </c>
      <c r="BY28" t="s">
        <v>6</v>
      </c>
      <c r="BZ28">
        <v>0</v>
      </c>
      <c r="CA28">
        <v>0</v>
      </c>
      <c r="CB28" t="s">
        <v>6</v>
      </c>
      <c r="CE28">
        <v>0</v>
      </c>
      <c r="CF28">
        <v>0</v>
      </c>
      <c r="CG28">
        <v>0</v>
      </c>
      <c r="CM28">
        <v>0</v>
      </c>
      <c r="CN28" t="s">
        <v>6</v>
      </c>
      <c r="CO28">
        <v>0</v>
      </c>
      <c r="CP28">
        <f t="shared" si="28"/>
        <v>116807</v>
      </c>
      <c r="CQ28">
        <f t="shared" si="29"/>
        <v>0</v>
      </c>
      <c r="CR28">
        <f t="shared" si="30"/>
        <v>21.217600000000001</v>
      </c>
      <c r="CS28">
        <f t="shared" si="31"/>
        <v>0</v>
      </c>
      <c r="CT28">
        <f t="shared" si="32"/>
        <v>0</v>
      </c>
      <c r="CU28">
        <f t="shared" si="33"/>
        <v>0</v>
      </c>
      <c r="CV28">
        <f t="shared" si="33"/>
        <v>0</v>
      </c>
      <c r="CW28">
        <f t="shared" si="33"/>
        <v>0</v>
      </c>
      <c r="CX28">
        <f t="shared" si="33"/>
        <v>0</v>
      </c>
      <c r="CY28">
        <f>(S28+R28)*(BZ28/100)</f>
        <v>0</v>
      </c>
      <c r="CZ28">
        <f>(S28+R28)*(CA28/100)</f>
        <v>0</v>
      </c>
      <c r="DC28" t="s">
        <v>6</v>
      </c>
      <c r="DD28" t="s">
        <v>6</v>
      </c>
      <c r="DE28" t="s">
        <v>6</v>
      </c>
      <c r="DF28" t="s">
        <v>6</v>
      </c>
      <c r="DG28" t="s">
        <v>6</v>
      </c>
      <c r="DH28" t="s">
        <v>6</v>
      </c>
      <c r="DI28" t="s">
        <v>6</v>
      </c>
      <c r="DJ28" t="s">
        <v>6</v>
      </c>
      <c r="DK28" t="s">
        <v>6</v>
      </c>
      <c r="DL28" t="s">
        <v>6</v>
      </c>
      <c r="DM28" t="s">
        <v>6</v>
      </c>
      <c r="DN28">
        <v>0</v>
      </c>
      <c r="DO28">
        <v>0</v>
      </c>
      <c r="DP28">
        <v>1</v>
      </c>
      <c r="DQ28">
        <v>1</v>
      </c>
      <c r="DU28">
        <v>1013</v>
      </c>
      <c r="DV28" t="s">
        <v>28</v>
      </c>
      <c r="DW28" t="str">
        <f>'2.Лок.смета.и.Акт в ЕР'!D58</f>
        <v>1 Т ГРУЗА</v>
      </c>
      <c r="DX28">
        <v>1</v>
      </c>
      <c r="DZ28" t="s">
        <v>6</v>
      </c>
      <c r="EA28" t="s">
        <v>6</v>
      </c>
      <c r="EB28" t="s">
        <v>6</v>
      </c>
      <c r="EC28" t="s">
        <v>6</v>
      </c>
      <c r="EE28">
        <v>53008220</v>
      </c>
      <c r="EF28">
        <v>43</v>
      </c>
      <c r="EG28" t="s">
        <v>30</v>
      </c>
      <c r="EH28">
        <v>0</v>
      </c>
      <c r="EI28" t="s">
        <v>6</v>
      </c>
      <c r="EJ28">
        <v>1</v>
      </c>
      <c r="EK28">
        <v>700001</v>
      </c>
      <c r="EL28" t="s">
        <v>31</v>
      </c>
      <c r="EM28" t="s">
        <v>32</v>
      </c>
      <c r="EO28" t="s">
        <v>6</v>
      </c>
      <c r="EQ28">
        <v>131072</v>
      </c>
      <c r="ER28" s="77">
        <f>ES28+ET28+EV28</f>
        <v>2.98</v>
      </c>
      <c r="ES28">
        <v>0</v>
      </c>
      <c r="ET28" s="77">
        <f>'2.Лок.смета.и.Акт в ЕР'!F60</f>
        <v>2.98</v>
      </c>
      <c r="EU28">
        <v>0</v>
      </c>
      <c r="EV28">
        <v>0</v>
      </c>
      <c r="EW28">
        <v>0</v>
      </c>
      <c r="EX28">
        <v>0</v>
      </c>
      <c r="EY28">
        <v>0</v>
      </c>
      <c r="FQ28">
        <v>0</v>
      </c>
      <c r="FR28">
        <f t="shared" si="34"/>
        <v>0</v>
      </c>
      <c r="FS28">
        <v>0</v>
      </c>
      <c r="FX28">
        <v>0</v>
      </c>
      <c r="FY28">
        <v>0</v>
      </c>
      <c r="GA28" t="s">
        <v>6</v>
      </c>
      <c r="GD28">
        <v>1</v>
      </c>
      <c r="GF28">
        <v>-1610609934</v>
      </c>
      <c r="GG28">
        <v>2</v>
      </c>
      <c r="GH28">
        <v>1</v>
      </c>
      <c r="GI28">
        <v>2</v>
      </c>
      <c r="GJ28">
        <v>0</v>
      </c>
      <c r="GK28">
        <v>0</v>
      </c>
      <c r="GL28">
        <f t="shared" si="35"/>
        <v>0</v>
      </c>
      <c r="GM28">
        <f t="shared" si="36"/>
        <v>116807</v>
      </c>
      <c r="GN28">
        <f t="shared" si="37"/>
        <v>116807</v>
      </c>
      <c r="GO28">
        <f t="shared" si="38"/>
        <v>0</v>
      </c>
      <c r="GP28">
        <f t="shared" si="39"/>
        <v>0</v>
      </c>
      <c r="GR28">
        <v>0</v>
      </c>
      <c r="GS28">
        <v>3</v>
      </c>
      <c r="GT28">
        <v>0</v>
      </c>
      <c r="GU28" t="s">
        <v>6</v>
      </c>
      <c r="GV28">
        <f t="shared" si="40"/>
        <v>0</v>
      </c>
      <c r="GW28">
        <v>1018</v>
      </c>
      <c r="GX28">
        <f t="shared" si="41"/>
        <v>0</v>
      </c>
      <c r="HA28">
        <v>0</v>
      </c>
      <c r="HB28">
        <v>0</v>
      </c>
      <c r="HC28">
        <f t="shared" si="42"/>
        <v>0</v>
      </c>
      <c r="HD28">
        <f>GM28</f>
        <v>116807</v>
      </c>
      <c r="HE28" t="s">
        <v>6</v>
      </c>
      <c r="HF28" t="s">
        <v>6</v>
      </c>
      <c r="HM28" t="s">
        <v>6</v>
      </c>
      <c r="HN28" t="s">
        <v>6</v>
      </c>
      <c r="HO28" t="s">
        <v>6</v>
      </c>
      <c r="HP28" t="s">
        <v>6</v>
      </c>
      <c r="HQ28" t="s">
        <v>6</v>
      </c>
      <c r="IF28">
        <v>-1</v>
      </c>
      <c r="IK28">
        <v>0</v>
      </c>
      <c r="IL28" t="s">
        <v>208</v>
      </c>
      <c r="IM28">
        <v>5505.2039999999997</v>
      </c>
    </row>
    <row r="29" spans="1:255" x14ac:dyDescent="0.2">
      <c r="A29" s="2">
        <v>17</v>
      </c>
      <c r="B29" s="2">
        <v>1</v>
      </c>
      <c r="C29" s="2">
        <f>ROW(SmtRes!A10)</f>
        <v>10</v>
      </c>
      <c r="D29" s="2">
        <f>ROW(EtalonRes!A11)</f>
        <v>11</v>
      </c>
      <c r="E29" s="2" t="s">
        <v>33</v>
      </c>
      <c r="F29" s="2" t="s">
        <v>34</v>
      </c>
      <c r="G29" s="2" t="s">
        <v>35</v>
      </c>
      <c r="H29" s="2" t="s">
        <v>20</v>
      </c>
      <c r="I29" s="2">
        <f>'2.Лок.смета.и.Акт в ЕР'!E63</f>
        <v>3.2006999999999999</v>
      </c>
      <c r="J29" s="2">
        <v>0</v>
      </c>
      <c r="K29" s="2">
        <f>ROUND(I25,9)</f>
        <v>3.2006999999999999</v>
      </c>
      <c r="L29" s="2"/>
      <c r="M29" s="2"/>
      <c r="N29" s="2"/>
      <c r="O29" s="2">
        <f t="shared" si="14"/>
        <v>1250</v>
      </c>
      <c r="P29" s="2">
        <f t="shared" si="15"/>
        <v>0</v>
      </c>
      <c r="Q29" s="2">
        <f t="shared" si="16"/>
        <v>1158</v>
      </c>
      <c r="R29" s="2">
        <f t="shared" si="17"/>
        <v>173</v>
      </c>
      <c r="S29" s="2">
        <f t="shared" si="18"/>
        <v>92</v>
      </c>
      <c r="T29" s="2">
        <f t="shared" si="19"/>
        <v>0</v>
      </c>
      <c r="U29" s="2">
        <f t="shared" si="20"/>
        <v>11.682554999999999</v>
      </c>
      <c r="V29" s="2">
        <f t="shared" si="21"/>
        <v>12.706779000000001</v>
      </c>
      <c r="W29" s="2">
        <f t="shared" si="22"/>
        <v>0</v>
      </c>
      <c r="X29" s="2">
        <f t="shared" si="23"/>
        <v>252</v>
      </c>
      <c r="Y29" s="2">
        <f t="shared" si="23"/>
        <v>133</v>
      </c>
      <c r="Z29" s="2"/>
      <c r="AA29" s="2">
        <v>62803415</v>
      </c>
      <c r="AB29" s="2">
        <f t="shared" si="24"/>
        <v>390.48</v>
      </c>
      <c r="AC29" s="2">
        <f>ROUND((ES29+(SUM(SmtRes!BC7:'SmtRes'!BC10)+SUM(EtalonRes!AL7:'EtalonRes'!AL11))),2)</f>
        <v>0</v>
      </c>
      <c r="AD29" s="2">
        <f>ROUND((((ET29)-(EU29))+AE29),2)</f>
        <v>361.75</v>
      </c>
      <c r="AE29" s="2">
        <f>ROUND((EU29),2)</f>
        <v>54.03</v>
      </c>
      <c r="AF29" s="2">
        <f>ROUND((EV29),2)</f>
        <v>28.73</v>
      </c>
      <c r="AG29" s="2">
        <f t="shared" si="25"/>
        <v>0</v>
      </c>
      <c r="AH29" s="2">
        <f t="shared" si="26"/>
        <v>3.65</v>
      </c>
      <c r="AI29" s="2">
        <f t="shared" si="26"/>
        <v>3.97</v>
      </c>
      <c r="AJ29" s="2">
        <f t="shared" si="27"/>
        <v>0</v>
      </c>
      <c r="AK29" s="2">
        <v>394.84</v>
      </c>
      <c r="AL29" s="2">
        <v>4.3600000000000003</v>
      </c>
      <c r="AM29" s="2">
        <v>361.75</v>
      </c>
      <c r="AN29" s="2">
        <v>54.03</v>
      </c>
      <c r="AO29" s="2">
        <v>28.73</v>
      </c>
      <c r="AP29" s="2">
        <v>0</v>
      </c>
      <c r="AQ29" s="2">
        <v>3.65</v>
      </c>
      <c r="AR29" s="2">
        <v>3.97</v>
      </c>
      <c r="AS29" s="2">
        <v>0</v>
      </c>
      <c r="AT29" s="2">
        <v>95</v>
      </c>
      <c r="AU29" s="2">
        <v>50</v>
      </c>
      <c r="AV29" s="2">
        <v>1</v>
      </c>
      <c r="AW29" s="2">
        <v>1</v>
      </c>
      <c r="AX29" s="2"/>
      <c r="AY29" s="2"/>
      <c r="AZ29" s="2">
        <v>1</v>
      </c>
      <c r="BA29" s="2">
        <v>1</v>
      </c>
      <c r="BB29" s="2">
        <v>1</v>
      </c>
      <c r="BC29" s="2">
        <v>1</v>
      </c>
      <c r="BD29" s="2" t="s">
        <v>6</v>
      </c>
      <c r="BE29" s="2" t="s">
        <v>6</v>
      </c>
      <c r="BF29" s="2" t="s">
        <v>6</v>
      </c>
      <c r="BG29" s="2" t="s">
        <v>6</v>
      </c>
      <c r="BH29" s="2">
        <v>0</v>
      </c>
      <c r="BI29" s="2">
        <v>1</v>
      </c>
      <c r="BJ29" s="2" t="s">
        <v>36</v>
      </c>
      <c r="BK29" s="2"/>
      <c r="BL29" s="2"/>
      <c r="BM29" s="2">
        <v>1001</v>
      </c>
      <c r="BN29" s="2">
        <v>0</v>
      </c>
      <c r="BO29" s="2" t="s">
        <v>6</v>
      </c>
      <c r="BP29" s="2">
        <v>0</v>
      </c>
      <c r="BQ29" s="2">
        <v>1</v>
      </c>
      <c r="BR29" s="2">
        <v>0</v>
      </c>
      <c r="BS29" s="2">
        <v>1</v>
      </c>
      <c r="BT29" s="2">
        <v>1</v>
      </c>
      <c r="BU29" s="2">
        <v>1</v>
      </c>
      <c r="BV29" s="2">
        <v>1</v>
      </c>
      <c r="BW29" s="2">
        <v>1</v>
      </c>
      <c r="BX29" s="2">
        <v>1</v>
      </c>
      <c r="BY29" s="2" t="s">
        <v>6</v>
      </c>
      <c r="BZ29" s="2">
        <v>95</v>
      </c>
      <c r="CA29" s="2">
        <v>50</v>
      </c>
      <c r="CB29" s="2" t="s">
        <v>6</v>
      </c>
      <c r="CC29" s="2"/>
      <c r="CD29" s="2"/>
      <c r="CE29" s="2">
        <v>0</v>
      </c>
      <c r="CF29" s="2">
        <v>0</v>
      </c>
      <c r="CG29" s="2">
        <v>0</v>
      </c>
      <c r="CH29" s="2"/>
      <c r="CI29" s="2"/>
      <c r="CJ29" s="2"/>
      <c r="CK29" s="2"/>
      <c r="CL29" s="2"/>
      <c r="CM29" s="2">
        <v>0</v>
      </c>
      <c r="CN29" s="2" t="s">
        <v>6</v>
      </c>
      <c r="CO29" s="2">
        <v>0</v>
      </c>
      <c r="CP29" s="2">
        <f t="shared" si="28"/>
        <v>1250</v>
      </c>
      <c r="CQ29" s="2">
        <f t="shared" si="29"/>
        <v>0</v>
      </c>
      <c r="CR29" s="2">
        <f t="shared" si="30"/>
        <v>361.75</v>
      </c>
      <c r="CS29" s="2">
        <f t="shared" si="31"/>
        <v>54.03</v>
      </c>
      <c r="CT29" s="2">
        <f t="shared" si="32"/>
        <v>28.73</v>
      </c>
      <c r="CU29" s="2">
        <f t="shared" si="33"/>
        <v>0</v>
      </c>
      <c r="CV29" s="2">
        <f t="shared" si="33"/>
        <v>3.65</v>
      </c>
      <c r="CW29" s="2">
        <f t="shared" si="33"/>
        <v>3.97</v>
      </c>
      <c r="CX29" s="2">
        <f t="shared" si="33"/>
        <v>0</v>
      </c>
      <c r="CY29" s="2">
        <f>(((S29+(R29*IF(0,0,1)))*AT29)/100)</f>
        <v>251.75</v>
      </c>
      <c r="CZ29" s="2">
        <f>(((S29+(R29*IF(0,0,1)))*AU29)/100)</f>
        <v>132.5</v>
      </c>
      <c r="DA29" s="2"/>
      <c r="DB29" s="2"/>
      <c r="DC29" s="2" t="s">
        <v>6</v>
      </c>
      <c r="DD29" s="2" t="s">
        <v>6</v>
      </c>
      <c r="DE29" s="2" t="s">
        <v>6</v>
      </c>
      <c r="DF29" s="2" t="s">
        <v>6</v>
      </c>
      <c r="DG29" s="2" t="s">
        <v>6</v>
      </c>
      <c r="DH29" s="2" t="s">
        <v>6</v>
      </c>
      <c r="DI29" s="2" t="s">
        <v>6</v>
      </c>
      <c r="DJ29" s="2" t="s">
        <v>6</v>
      </c>
      <c r="DK29" s="2" t="s">
        <v>6</v>
      </c>
      <c r="DL29" s="2" t="s">
        <v>6</v>
      </c>
      <c r="DM29" s="2" t="s">
        <v>6</v>
      </c>
      <c r="DN29" s="2">
        <v>0</v>
      </c>
      <c r="DO29" s="2">
        <v>0</v>
      </c>
      <c r="DP29" s="2">
        <v>1</v>
      </c>
      <c r="DQ29" s="2">
        <v>1</v>
      </c>
      <c r="DR29" s="2"/>
      <c r="DS29" s="2"/>
      <c r="DT29" s="2"/>
      <c r="DU29" s="2">
        <v>1007</v>
      </c>
      <c r="DV29" s="2" t="s">
        <v>20</v>
      </c>
      <c r="DW29" s="2" t="s">
        <v>20</v>
      </c>
      <c r="DX29" s="2">
        <v>1000</v>
      </c>
      <c r="DY29" s="2"/>
      <c r="DZ29" s="2" t="s">
        <v>6</v>
      </c>
      <c r="EA29" s="2" t="s">
        <v>6</v>
      </c>
      <c r="EB29" s="2" t="s">
        <v>6</v>
      </c>
      <c r="EC29" s="2" t="s">
        <v>6</v>
      </c>
      <c r="ED29" s="2"/>
      <c r="EE29" s="2">
        <v>53008004</v>
      </c>
      <c r="EF29" s="2">
        <v>1</v>
      </c>
      <c r="EG29" s="2" t="s">
        <v>22</v>
      </c>
      <c r="EH29" s="2">
        <v>0</v>
      </c>
      <c r="EI29" s="2" t="s">
        <v>6</v>
      </c>
      <c r="EJ29" s="2">
        <v>1</v>
      </c>
      <c r="EK29" s="2">
        <v>1001</v>
      </c>
      <c r="EL29" s="2" t="s">
        <v>23</v>
      </c>
      <c r="EM29" s="2" t="s">
        <v>24</v>
      </c>
      <c r="EN29" s="2"/>
      <c r="EO29" s="2" t="s">
        <v>6</v>
      </c>
      <c r="EP29" s="2"/>
      <c r="EQ29" s="2">
        <v>131072</v>
      </c>
      <c r="ER29" s="2">
        <v>394.84</v>
      </c>
      <c r="ES29" s="2">
        <v>4.3600000000000003</v>
      </c>
      <c r="ET29" s="2">
        <v>361.75</v>
      </c>
      <c r="EU29" s="2">
        <v>54.03</v>
      </c>
      <c r="EV29" s="2">
        <v>28.73</v>
      </c>
      <c r="EW29" s="2">
        <v>3.65</v>
      </c>
      <c r="EX29" s="2">
        <v>3.97</v>
      </c>
      <c r="EY29" s="2">
        <v>1</v>
      </c>
      <c r="EZ29" s="2"/>
      <c r="FA29" s="2"/>
      <c r="FB29" s="2"/>
      <c r="FC29" s="2"/>
      <c r="FD29" s="2"/>
      <c r="FE29" s="2"/>
      <c r="FF29" s="2"/>
      <c r="FG29" s="2"/>
      <c r="FH29" s="2"/>
      <c r="FI29" s="2"/>
      <c r="FJ29" s="2"/>
      <c r="FK29" s="2"/>
      <c r="FL29" s="2"/>
      <c r="FM29" s="2"/>
      <c r="FN29" s="2"/>
      <c r="FO29" s="2"/>
      <c r="FP29" s="2"/>
      <c r="FQ29" s="2">
        <v>0</v>
      </c>
      <c r="FR29" s="2">
        <f t="shared" si="34"/>
        <v>0</v>
      </c>
      <c r="FS29" s="2">
        <v>0</v>
      </c>
      <c r="FT29" s="2"/>
      <c r="FU29" s="2"/>
      <c r="FV29" s="2"/>
      <c r="FW29" s="2"/>
      <c r="FX29" s="2">
        <v>95</v>
      </c>
      <c r="FY29" s="2">
        <v>50</v>
      </c>
      <c r="FZ29" s="2"/>
      <c r="GA29" s="2" t="s">
        <v>6</v>
      </c>
      <c r="GB29" s="2"/>
      <c r="GC29" s="2"/>
      <c r="GD29" s="2">
        <v>1</v>
      </c>
      <c r="GE29" s="2"/>
      <c r="GF29" s="2">
        <v>-2119245907</v>
      </c>
      <c r="GG29" s="2">
        <v>2</v>
      </c>
      <c r="GH29" s="2">
        <v>1</v>
      </c>
      <c r="GI29" s="2">
        <v>-2</v>
      </c>
      <c r="GJ29" s="2">
        <v>0</v>
      </c>
      <c r="GK29" s="2">
        <v>0</v>
      </c>
      <c r="GL29" s="2">
        <f t="shared" si="35"/>
        <v>0</v>
      </c>
      <c r="GM29" s="2">
        <f t="shared" si="36"/>
        <v>1635</v>
      </c>
      <c r="GN29" s="2">
        <f t="shared" si="37"/>
        <v>1635</v>
      </c>
      <c r="GO29" s="2">
        <f t="shared" si="38"/>
        <v>0</v>
      </c>
      <c r="GP29" s="2">
        <f t="shared" si="39"/>
        <v>0</v>
      </c>
      <c r="GQ29" s="2"/>
      <c r="GR29" s="2">
        <v>0</v>
      </c>
      <c r="GS29" s="2">
        <v>3</v>
      </c>
      <c r="GT29" s="2">
        <v>0</v>
      </c>
      <c r="GU29" s="2" t="s">
        <v>6</v>
      </c>
      <c r="GV29" s="2">
        <f t="shared" si="40"/>
        <v>0</v>
      </c>
      <c r="GW29" s="2">
        <v>1</v>
      </c>
      <c r="GX29" s="2">
        <f t="shared" si="41"/>
        <v>0</v>
      </c>
      <c r="GY29" s="2"/>
      <c r="GZ29" s="2"/>
      <c r="HA29" s="2">
        <v>0</v>
      </c>
      <c r="HB29" s="2">
        <v>0</v>
      </c>
      <c r="HC29" s="2">
        <f t="shared" si="42"/>
        <v>0</v>
      </c>
      <c r="HD29" s="2"/>
      <c r="HE29" s="2" t="s">
        <v>6</v>
      </c>
      <c r="HF29" s="2" t="s">
        <v>6</v>
      </c>
      <c r="HG29" s="2"/>
      <c r="HH29" s="2"/>
      <c r="HI29" s="2"/>
      <c r="HJ29" s="2"/>
      <c r="HK29" s="2"/>
      <c r="HL29" s="2"/>
      <c r="HM29" s="2" t="s">
        <v>6</v>
      </c>
      <c r="HN29" s="2" t="s">
        <v>6</v>
      </c>
      <c r="HO29" s="2" t="s">
        <v>6</v>
      </c>
      <c r="HP29" s="2" t="s">
        <v>6</v>
      </c>
      <c r="HQ29" s="2" t="s">
        <v>6</v>
      </c>
      <c r="HR29" s="2"/>
      <c r="HS29" s="2"/>
      <c r="HT29" s="2"/>
      <c r="HU29" s="2"/>
      <c r="HV29" s="2"/>
      <c r="HW29" s="2"/>
      <c r="HX29" s="2"/>
      <c r="HY29" s="2"/>
      <c r="HZ29" s="2"/>
      <c r="IA29" s="2"/>
      <c r="IB29" s="2"/>
      <c r="IC29" s="2"/>
      <c r="ID29" s="2"/>
      <c r="IE29" s="2"/>
      <c r="IF29" s="2">
        <v>-1</v>
      </c>
      <c r="IG29" s="2"/>
      <c r="IH29" s="2"/>
      <c r="II29" s="2"/>
      <c r="IJ29" s="2"/>
      <c r="IK29" s="2">
        <v>0</v>
      </c>
      <c r="IL29" s="2"/>
      <c r="IM29" s="2"/>
      <c r="IN29" s="2"/>
      <c r="IO29" s="2"/>
      <c r="IP29" s="2"/>
      <c r="IQ29" s="2"/>
      <c r="IR29" s="2"/>
      <c r="IS29" s="2"/>
      <c r="IT29" s="2"/>
      <c r="IU29" s="2"/>
    </row>
    <row r="30" spans="1:255" x14ac:dyDescent="0.2">
      <c r="A30">
        <v>17</v>
      </c>
      <c r="B30">
        <v>1</v>
      </c>
      <c r="C30">
        <f>ROW(SmtRes!A14)</f>
        <v>14</v>
      </c>
      <c r="D30">
        <f>ROW(EtalonRes!A16)</f>
        <v>16</v>
      </c>
      <c r="E30" t="s">
        <v>33</v>
      </c>
      <c r="F30" t="s">
        <v>34</v>
      </c>
      <c r="G30" t="s">
        <v>35</v>
      </c>
      <c r="H30" t="s">
        <v>20</v>
      </c>
      <c r="I30">
        <f>'2.Лок.смета.и.Акт в ЕР'!E63</f>
        <v>3.2006999999999999</v>
      </c>
      <c r="J30">
        <v>0</v>
      </c>
      <c r="K30">
        <f>ROUND(I26,9)</f>
        <v>3.2006999999999999</v>
      </c>
      <c r="O30">
        <f t="shared" si="14"/>
        <v>9751</v>
      </c>
      <c r="P30">
        <f t="shared" si="15"/>
        <v>0</v>
      </c>
      <c r="Q30">
        <f t="shared" si="16"/>
        <v>7422</v>
      </c>
      <c r="R30">
        <f t="shared" si="17"/>
        <v>3170</v>
      </c>
      <c r="S30">
        <f t="shared" si="18"/>
        <v>2329</v>
      </c>
      <c r="T30">
        <f t="shared" si="19"/>
        <v>0</v>
      </c>
      <c r="U30">
        <f t="shared" si="20"/>
        <v>11.682554999999999</v>
      </c>
      <c r="V30">
        <f t="shared" si="21"/>
        <v>12.706779000000001</v>
      </c>
      <c r="W30">
        <f t="shared" si="22"/>
        <v>0</v>
      </c>
      <c r="X30">
        <f t="shared" si="23"/>
        <v>4949</v>
      </c>
      <c r="Y30">
        <f t="shared" si="23"/>
        <v>2365</v>
      </c>
      <c r="AA30">
        <v>62803416</v>
      </c>
      <c r="AB30">
        <f t="shared" si="24"/>
        <v>390.48</v>
      </c>
      <c r="AC30">
        <f>ROUND((ES30+(SUM(SmtRes!BC11:'SmtRes'!BC14)+SUM(EtalonRes!AL12:'EtalonRes'!AL16))),2)</f>
        <v>0</v>
      </c>
      <c r="AD30">
        <f>ROUND((((ET30)-(EU30))+AE30),2)</f>
        <v>361.75</v>
      </c>
      <c r="AE30">
        <f>ROUND((EU30),2)</f>
        <v>54.03</v>
      </c>
      <c r="AF30">
        <f>ROUND((EV30),2)</f>
        <v>28.73</v>
      </c>
      <c r="AG30">
        <f t="shared" si="25"/>
        <v>0</v>
      </c>
      <c r="AH30">
        <f t="shared" si="26"/>
        <v>3.65</v>
      </c>
      <c r="AI30">
        <f t="shared" si="26"/>
        <v>3.97</v>
      </c>
      <c r="AJ30">
        <f t="shared" si="27"/>
        <v>0</v>
      </c>
      <c r="AK30" s="77">
        <f>AL30+AM30+AO30</f>
        <v>394.84000000000003</v>
      </c>
      <c r="AL30">
        <v>4.3600000000000003</v>
      </c>
      <c r="AM30" s="77">
        <f>'2.Лок.смета.и.Акт в ЕР'!F65</f>
        <v>361.75</v>
      </c>
      <c r="AN30" s="77">
        <f>'2.Лок.смета.и.Акт в ЕР'!F66</f>
        <v>54.03</v>
      </c>
      <c r="AO30" s="77">
        <f>'2.Лок.смета.и.Акт в ЕР'!F64</f>
        <v>28.73</v>
      </c>
      <c r="AP30">
        <v>0</v>
      </c>
      <c r="AQ30">
        <f>'2.Лок.смета.и.Акт в ЕР'!E69</f>
        <v>3.65</v>
      </c>
      <c r="AR30">
        <v>3.97</v>
      </c>
      <c r="AS30">
        <v>0</v>
      </c>
      <c r="AT30">
        <v>90</v>
      </c>
      <c r="AU30">
        <v>43</v>
      </c>
      <c r="AV30">
        <v>1</v>
      </c>
      <c r="AW30">
        <v>1</v>
      </c>
      <c r="AZ30">
        <v>1</v>
      </c>
      <c r="BA30">
        <f>'2.Лок.смета.и.Акт в ЕР'!J64</f>
        <v>25.33</v>
      </c>
      <c r="BB30">
        <f>'2.Лок.смета.и.Акт в ЕР'!J65</f>
        <v>6.41</v>
      </c>
      <c r="BC30">
        <v>7.56</v>
      </c>
      <c r="BD30" t="s">
        <v>6</v>
      </c>
      <c r="BE30" t="s">
        <v>6</v>
      </c>
      <c r="BF30" t="s">
        <v>6</v>
      </c>
      <c r="BG30" t="s">
        <v>6</v>
      </c>
      <c r="BH30">
        <v>0</v>
      </c>
      <c r="BI30">
        <v>1</v>
      </c>
      <c r="BJ30" t="s">
        <v>36</v>
      </c>
      <c r="BM30">
        <v>1001</v>
      </c>
      <c r="BN30">
        <v>0</v>
      </c>
      <c r="BO30" t="s">
        <v>34</v>
      </c>
      <c r="BP30">
        <v>1</v>
      </c>
      <c r="BQ30">
        <v>1</v>
      </c>
      <c r="BR30">
        <v>0</v>
      </c>
      <c r="BS30">
        <f>'2.Лок.смета.и.Акт в ЕР'!J66</f>
        <v>18.329999999999998</v>
      </c>
      <c r="BT30">
        <v>1</v>
      </c>
      <c r="BU30">
        <v>1</v>
      </c>
      <c r="BV30">
        <v>1</v>
      </c>
      <c r="BW30">
        <v>1</v>
      </c>
      <c r="BX30">
        <v>1</v>
      </c>
      <c r="BY30" t="s">
        <v>6</v>
      </c>
      <c r="BZ30">
        <v>90</v>
      </c>
      <c r="CA30">
        <v>43</v>
      </c>
      <c r="CB30" t="s">
        <v>6</v>
      </c>
      <c r="CE30">
        <v>0</v>
      </c>
      <c r="CF30">
        <v>0</v>
      </c>
      <c r="CG30">
        <v>0</v>
      </c>
      <c r="CM30">
        <v>0</v>
      </c>
      <c r="CN30" t="s">
        <v>6</v>
      </c>
      <c r="CO30">
        <v>0</v>
      </c>
      <c r="CP30">
        <f t="shared" si="28"/>
        <v>9751</v>
      </c>
      <c r="CQ30">
        <f t="shared" si="29"/>
        <v>0</v>
      </c>
      <c r="CR30">
        <f t="shared" si="30"/>
        <v>2318.8175000000001</v>
      </c>
      <c r="CS30">
        <f t="shared" si="31"/>
        <v>990.36989999999992</v>
      </c>
      <c r="CT30">
        <f t="shared" si="32"/>
        <v>727.73089999999991</v>
      </c>
      <c r="CU30">
        <f t="shared" si="33"/>
        <v>0</v>
      </c>
      <c r="CV30">
        <f t="shared" si="33"/>
        <v>3.65</v>
      </c>
      <c r="CW30">
        <f t="shared" si="33"/>
        <v>3.97</v>
      </c>
      <c r="CX30">
        <f t="shared" si="33"/>
        <v>0</v>
      </c>
      <c r="CY30">
        <f>(S30+R30)*(BZ30/100)</f>
        <v>4949.1000000000004</v>
      </c>
      <c r="CZ30">
        <f>(S30+R30)*(CA30/100)</f>
        <v>2364.5700000000002</v>
      </c>
      <c r="DC30" t="s">
        <v>6</v>
      </c>
      <c r="DD30" t="s">
        <v>6</v>
      </c>
      <c r="DE30" t="s">
        <v>6</v>
      </c>
      <c r="DF30" t="s">
        <v>6</v>
      </c>
      <c r="DG30" t="s">
        <v>6</v>
      </c>
      <c r="DH30" t="s">
        <v>6</v>
      </c>
      <c r="DI30" t="s">
        <v>6</v>
      </c>
      <c r="DJ30" t="s">
        <v>6</v>
      </c>
      <c r="DK30" t="s">
        <v>6</v>
      </c>
      <c r="DL30" t="s">
        <v>6</v>
      </c>
      <c r="DM30" t="s">
        <v>6</v>
      </c>
      <c r="DN30">
        <f>'2.Лок.смета.и.Акт в ЕР'!E67</f>
        <v>95</v>
      </c>
      <c r="DO30">
        <f>'2.Лок.смета.и.Акт в ЕР'!E68</f>
        <v>50</v>
      </c>
      <c r="DP30">
        <v>1</v>
      </c>
      <c r="DQ30">
        <v>1</v>
      </c>
      <c r="DU30">
        <v>1007</v>
      </c>
      <c r="DV30" t="s">
        <v>20</v>
      </c>
      <c r="DW30" t="str">
        <f>'2.Лок.смета.и.Акт в ЕР'!D63</f>
        <v>1000 м3 грунта</v>
      </c>
      <c r="DX30">
        <v>1000</v>
      </c>
      <c r="DZ30" t="s">
        <v>6</v>
      </c>
      <c r="EA30" t="s">
        <v>6</v>
      </c>
      <c r="EB30" t="s">
        <v>6</v>
      </c>
      <c r="EC30" t="s">
        <v>6</v>
      </c>
      <c r="EE30">
        <v>53008004</v>
      </c>
      <c r="EF30">
        <v>1</v>
      </c>
      <c r="EG30" t="s">
        <v>22</v>
      </c>
      <c r="EH30">
        <v>0</v>
      </c>
      <c r="EI30" t="s">
        <v>6</v>
      </c>
      <c r="EJ30">
        <v>1</v>
      </c>
      <c r="EK30">
        <v>1001</v>
      </c>
      <c r="EL30" t="s">
        <v>23</v>
      </c>
      <c r="EM30" t="s">
        <v>24</v>
      </c>
      <c r="EO30" t="s">
        <v>6</v>
      </c>
      <c r="EQ30">
        <v>131072</v>
      </c>
      <c r="ER30" s="77">
        <f>ES30+ET30+EV30</f>
        <v>394.84000000000003</v>
      </c>
      <c r="ES30">
        <v>4.3600000000000003</v>
      </c>
      <c r="ET30" s="77">
        <f>'2.Лок.смета.и.Акт в ЕР'!F65</f>
        <v>361.75</v>
      </c>
      <c r="EU30" s="77">
        <f>'2.Лок.смета.и.Акт в ЕР'!F66</f>
        <v>54.03</v>
      </c>
      <c r="EV30" s="77">
        <f>'2.Лок.смета.и.Акт в ЕР'!F64</f>
        <v>28.73</v>
      </c>
      <c r="EW30">
        <f>'2.Лок.смета.и.Акт в ЕР'!E69</f>
        <v>3.65</v>
      </c>
      <c r="EX30">
        <v>3.97</v>
      </c>
      <c r="EY30">
        <v>1</v>
      </c>
      <c r="FQ30">
        <v>0</v>
      </c>
      <c r="FR30">
        <f t="shared" si="34"/>
        <v>0</v>
      </c>
      <c r="FS30">
        <v>0</v>
      </c>
      <c r="FX30">
        <v>95</v>
      </c>
      <c r="FY30">
        <v>50</v>
      </c>
      <c r="GA30" t="s">
        <v>6</v>
      </c>
      <c r="GD30">
        <v>1</v>
      </c>
      <c r="GF30">
        <v>-2119245907</v>
      </c>
      <c r="GG30">
        <v>2</v>
      </c>
      <c r="GH30">
        <v>1</v>
      </c>
      <c r="GI30">
        <v>2</v>
      </c>
      <c r="GJ30">
        <v>0</v>
      </c>
      <c r="GK30">
        <v>0</v>
      </c>
      <c r="GL30">
        <f t="shared" si="35"/>
        <v>0</v>
      </c>
      <c r="GM30">
        <f t="shared" si="36"/>
        <v>17065</v>
      </c>
      <c r="GN30">
        <f t="shared" si="37"/>
        <v>17065</v>
      </c>
      <c r="GO30">
        <f t="shared" si="38"/>
        <v>0</v>
      </c>
      <c r="GP30">
        <f t="shared" si="39"/>
        <v>0</v>
      </c>
      <c r="GR30">
        <v>0</v>
      </c>
      <c r="GS30">
        <v>3</v>
      </c>
      <c r="GT30">
        <v>0</v>
      </c>
      <c r="GU30" t="s">
        <v>6</v>
      </c>
      <c r="GV30">
        <f t="shared" si="40"/>
        <v>0</v>
      </c>
      <c r="GW30">
        <v>1010.1</v>
      </c>
      <c r="GX30">
        <f t="shared" si="41"/>
        <v>0</v>
      </c>
      <c r="HA30">
        <v>0</v>
      </c>
      <c r="HB30">
        <v>0</v>
      </c>
      <c r="HC30">
        <f t="shared" si="42"/>
        <v>0</v>
      </c>
      <c r="HE30" t="s">
        <v>6</v>
      </c>
      <c r="HF30" t="s">
        <v>6</v>
      </c>
      <c r="HM30" t="s">
        <v>6</v>
      </c>
      <c r="HN30" t="s">
        <v>6</v>
      </c>
      <c r="HO30" t="s">
        <v>6</v>
      </c>
      <c r="HP30" t="s">
        <v>6</v>
      </c>
      <c r="HQ30" t="s">
        <v>6</v>
      </c>
      <c r="IF30">
        <v>-1</v>
      </c>
      <c r="IK30">
        <v>0</v>
      </c>
    </row>
    <row r="31" spans="1:255" x14ac:dyDescent="0.2">
      <c r="A31" s="2">
        <v>17</v>
      </c>
      <c r="B31" s="2">
        <v>1</v>
      </c>
      <c r="C31" s="2">
        <f>ROW(SmtRes!A15)</f>
        <v>15</v>
      </c>
      <c r="D31" s="2">
        <f>ROW(EtalonRes!A17)</f>
        <v>17</v>
      </c>
      <c r="E31" s="2" t="s">
        <v>37</v>
      </c>
      <c r="F31" s="2" t="s">
        <v>38</v>
      </c>
      <c r="G31" s="2" t="s">
        <v>39</v>
      </c>
      <c r="H31" s="2" t="s">
        <v>40</v>
      </c>
      <c r="I31" s="2">
        <f>'2.Лок.смета.и.Акт в ЕР'!E72</f>
        <v>1.4420999999999999</v>
      </c>
      <c r="J31" s="2">
        <v>0</v>
      </c>
      <c r="K31" s="2">
        <f>ROUND(144.21/100,9)</f>
        <v>1.4420999999999999</v>
      </c>
      <c r="L31" s="2"/>
      <c r="M31" s="2"/>
      <c r="N31" s="2"/>
      <c r="O31" s="2">
        <f t="shared" si="14"/>
        <v>2097</v>
      </c>
      <c r="P31" s="2">
        <f t="shared" si="15"/>
        <v>0</v>
      </c>
      <c r="Q31" s="2">
        <f t="shared" si="16"/>
        <v>0</v>
      </c>
      <c r="R31" s="2">
        <f t="shared" si="17"/>
        <v>0</v>
      </c>
      <c r="S31" s="2">
        <f t="shared" si="18"/>
        <v>2097</v>
      </c>
      <c r="T31" s="2">
        <f t="shared" si="19"/>
        <v>0</v>
      </c>
      <c r="U31" s="2">
        <f t="shared" si="20"/>
        <v>266.50007999999997</v>
      </c>
      <c r="V31" s="2">
        <f t="shared" si="21"/>
        <v>0</v>
      </c>
      <c r="W31" s="2">
        <f t="shared" si="22"/>
        <v>0</v>
      </c>
      <c r="X31" s="2">
        <f t="shared" si="23"/>
        <v>1678</v>
      </c>
      <c r="Y31" s="2">
        <f t="shared" si="23"/>
        <v>944</v>
      </c>
      <c r="Z31" s="2"/>
      <c r="AA31" s="2">
        <v>62803415</v>
      </c>
      <c r="AB31" s="2">
        <f t="shared" si="24"/>
        <v>1454.38</v>
      </c>
      <c r="AC31" s="2">
        <f>ROUND((ES31),2)</f>
        <v>0</v>
      </c>
      <c r="AD31" s="2">
        <f>ROUND((((ET31)-(EU31))+AE31),2)</f>
        <v>0</v>
      </c>
      <c r="AE31" s="2">
        <f>ROUND((EU31),2)</f>
        <v>0</v>
      </c>
      <c r="AF31" s="2">
        <f>ROUND(((EV31*1.2)),2)</f>
        <v>1454.38</v>
      </c>
      <c r="AG31" s="2">
        <f t="shared" si="25"/>
        <v>0</v>
      </c>
      <c r="AH31" s="2">
        <f>((EW31*1.2))</f>
        <v>184.79999999999998</v>
      </c>
      <c r="AI31" s="2">
        <f>(EX31)</f>
        <v>0</v>
      </c>
      <c r="AJ31" s="2">
        <f t="shared" si="27"/>
        <v>0</v>
      </c>
      <c r="AK31" s="2">
        <v>1211.98</v>
      </c>
      <c r="AL31" s="2">
        <v>0</v>
      </c>
      <c r="AM31" s="2">
        <v>0</v>
      </c>
      <c r="AN31" s="2">
        <v>0</v>
      </c>
      <c r="AO31" s="2">
        <v>1211.98</v>
      </c>
      <c r="AP31" s="2">
        <v>0</v>
      </c>
      <c r="AQ31" s="2">
        <v>154</v>
      </c>
      <c r="AR31" s="2">
        <v>0</v>
      </c>
      <c r="AS31" s="2">
        <v>0</v>
      </c>
      <c r="AT31" s="2">
        <v>80</v>
      </c>
      <c r="AU31" s="2">
        <v>45</v>
      </c>
      <c r="AV31" s="2">
        <v>1</v>
      </c>
      <c r="AW31" s="2">
        <v>1</v>
      </c>
      <c r="AX31" s="2"/>
      <c r="AY31" s="2"/>
      <c r="AZ31" s="2">
        <v>1</v>
      </c>
      <c r="BA31" s="2">
        <v>1</v>
      </c>
      <c r="BB31" s="2">
        <v>1</v>
      </c>
      <c r="BC31" s="2">
        <v>1</v>
      </c>
      <c r="BD31" s="2" t="s">
        <v>6</v>
      </c>
      <c r="BE31" s="2" t="s">
        <v>6</v>
      </c>
      <c r="BF31" s="2" t="s">
        <v>6</v>
      </c>
      <c r="BG31" s="2" t="s">
        <v>6</v>
      </c>
      <c r="BH31" s="2">
        <v>0</v>
      </c>
      <c r="BI31" s="2">
        <v>1</v>
      </c>
      <c r="BJ31" s="2" t="s">
        <v>41</v>
      </c>
      <c r="BK31" s="2"/>
      <c r="BL31" s="2"/>
      <c r="BM31" s="2">
        <v>1003</v>
      </c>
      <c r="BN31" s="2">
        <v>0</v>
      </c>
      <c r="BO31" s="2" t="s">
        <v>6</v>
      </c>
      <c r="BP31" s="2">
        <v>0</v>
      </c>
      <c r="BQ31" s="2">
        <v>1</v>
      </c>
      <c r="BR31" s="2">
        <v>0</v>
      </c>
      <c r="BS31" s="2">
        <v>1</v>
      </c>
      <c r="BT31" s="2">
        <v>1</v>
      </c>
      <c r="BU31" s="2">
        <v>1</v>
      </c>
      <c r="BV31" s="2">
        <v>1</v>
      </c>
      <c r="BW31" s="2">
        <v>1</v>
      </c>
      <c r="BX31" s="2">
        <v>1</v>
      </c>
      <c r="BY31" s="2" t="s">
        <v>6</v>
      </c>
      <c r="BZ31" s="2">
        <v>80</v>
      </c>
      <c r="CA31" s="2">
        <v>45</v>
      </c>
      <c r="CB31" s="2" t="s">
        <v>6</v>
      </c>
      <c r="CC31" s="2"/>
      <c r="CD31" s="2"/>
      <c r="CE31" s="2">
        <v>0</v>
      </c>
      <c r="CF31" s="2">
        <v>0</v>
      </c>
      <c r="CG31" s="2">
        <v>0</v>
      </c>
      <c r="CH31" s="2"/>
      <c r="CI31" s="2"/>
      <c r="CJ31" s="2"/>
      <c r="CK31" s="2"/>
      <c r="CL31" s="2"/>
      <c r="CM31" s="2">
        <v>0</v>
      </c>
      <c r="CN31" s="2" t="s">
        <v>42</v>
      </c>
      <c r="CO31" s="2">
        <v>0</v>
      </c>
      <c r="CP31" s="2">
        <f t="shared" si="28"/>
        <v>2097</v>
      </c>
      <c r="CQ31" s="2">
        <f t="shared" si="29"/>
        <v>0</v>
      </c>
      <c r="CR31" s="2">
        <f t="shared" si="30"/>
        <v>0</v>
      </c>
      <c r="CS31" s="2">
        <f t="shared" si="31"/>
        <v>0</v>
      </c>
      <c r="CT31" s="2">
        <f t="shared" si="32"/>
        <v>1454.38</v>
      </c>
      <c r="CU31" s="2">
        <f t="shared" si="33"/>
        <v>0</v>
      </c>
      <c r="CV31" s="2">
        <f t="shared" si="33"/>
        <v>184.79999999999998</v>
      </c>
      <c r="CW31" s="2">
        <f t="shared" si="33"/>
        <v>0</v>
      </c>
      <c r="CX31" s="2">
        <f t="shared" si="33"/>
        <v>0</v>
      </c>
      <c r="CY31" s="2">
        <f>(((S31+(R31*IF(0,0,1)))*AT31)/100)</f>
        <v>1677.6</v>
      </c>
      <c r="CZ31" s="2">
        <f>(((S31+(R31*IF(0,0,1)))*AU31)/100)</f>
        <v>943.65</v>
      </c>
      <c r="DA31" s="2"/>
      <c r="DB31" s="2"/>
      <c r="DC31" s="2" t="s">
        <v>6</v>
      </c>
      <c r="DD31" s="2" t="s">
        <v>6</v>
      </c>
      <c r="DE31" s="2" t="s">
        <v>6</v>
      </c>
      <c r="DF31" s="2" t="s">
        <v>6</v>
      </c>
      <c r="DG31" s="2" t="s">
        <v>43</v>
      </c>
      <c r="DH31" s="2" t="s">
        <v>6</v>
      </c>
      <c r="DI31" s="2" t="s">
        <v>43</v>
      </c>
      <c r="DJ31" s="2" t="s">
        <v>6</v>
      </c>
      <c r="DK31" s="2" t="s">
        <v>6</v>
      </c>
      <c r="DL31" s="2" t="s">
        <v>6</v>
      </c>
      <c r="DM31" s="2" t="s">
        <v>6</v>
      </c>
      <c r="DN31" s="2">
        <v>0</v>
      </c>
      <c r="DO31" s="2">
        <v>0</v>
      </c>
      <c r="DP31" s="2">
        <v>1</v>
      </c>
      <c r="DQ31" s="2">
        <v>1</v>
      </c>
      <c r="DR31" s="2"/>
      <c r="DS31" s="2"/>
      <c r="DT31" s="2"/>
      <c r="DU31" s="2">
        <v>1013</v>
      </c>
      <c r="DV31" s="2" t="s">
        <v>40</v>
      </c>
      <c r="DW31" s="2" t="s">
        <v>40</v>
      </c>
      <c r="DX31" s="2">
        <v>1</v>
      </c>
      <c r="DY31" s="2"/>
      <c r="DZ31" s="2" t="s">
        <v>6</v>
      </c>
      <c r="EA31" s="2" t="s">
        <v>6</v>
      </c>
      <c r="EB31" s="2" t="s">
        <v>6</v>
      </c>
      <c r="EC31" s="2" t="s">
        <v>6</v>
      </c>
      <c r="ED31" s="2"/>
      <c r="EE31" s="2">
        <v>53008006</v>
      </c>
      <c r="EF31" s="2">
        <v>1</v>
      </c>
      <c r="EG31" s="2" t="s">
        <v>22</v>
      </c>
      <c r="EH31" s="2">
        <v>0</v>
      </c>
      <c r="EI31" s="2" t="s">
        <v>6</v>
      </c>
      <c r="EJ31" s="2">
        <v>1</v>
      </c>
      <c r="EK31" s="2">
        <v>1003</v>
      </c>
      <c r="EL31" s="2" t="s">
        <v>44</v>
      </c>
      <c r="EM31" s="2" t="s">
        <v>24</v>
      </c>
      <c r="EN31" s="2"/>
      <c r="EO31" s="2" t="s">
        <v>45</v>
      </c>
      <c r="EP31" s="2"/>
      <c r="EQ31" s="2">
        <v>131072</v>
      </c>
      <c r="ER31" s="2">
        <v>1211.98</v>
      </c>
      <c r="ES31" s="2">
        <v>0</v>
      </c>
      <c r="ET31" s="2">
        <v>0</v>
      </c>
      <c r="EU31" s="2">
        <v>0</v>
      </c>
      <c r="EV31" s="2">
        <v>1211.98</v>
      </c>
      <c r="EW31" s="2">
        <v>154</v>
      </c>
      <c r="EX31" s="2">
        <v>0</v>
      </c>
      <c r="EY31" s="2">
        <v>0</v>
      </c>
      <c r="EZ31" s="2"/>
      <c r="FA31" s="2"/>
      <c r="FB31" s="2"/>
      <c r="FC31" s="2"/>
      <c r="FD31" s="2"/>
      <c r="FE31" s="2"/>
      <c r="FF31" s="2"/>
      <c r="FG31" s="2"/>
      <c r="FH31" s="2"/>
      <c r="FI31" s="2"/>
      <c r="FJ31" s="2"/>
      <c r="FK31" s="2"/>
      <c r="FL31" s="2"/>
      <c r="FM31" s="2"/>
      <c r="FN31" s="2"/>
      <c r="FO31" s="2"/>
      <c r="FP31" s="2"/>
      <c r="FQ31" s="2">
        <v>0</v>
      </c>
      <c r="FR31" s="2">
        <f t="shared" si="34"/>
        <v>0</v>
      </c>
      <c r="FS31" s="2">
        <v>0</v>
      </c>
      <c r="FT31" s="2"/>
      <c r="FU31" s="2"/>
      <c r="FV31" s="2"/>
      <c r="FW31" s="2"/>
      <c r="FX31" s="2">
        <v>80</v>
      </c>
      <c r="FY31" s="2">
        <v>45</v>
      </c>
      <c r="FZ31" s="2"/>
      <c r="GA31" s="2" t="s">
        <v>6</v>
      </c>
      <c r="GB31" s="2"/>
      <c r="GC31" s="2"/>
      <c r="GD31" s="2">
        <v>1</v>
      </c>
      <c r="GE31" s="2"/>
      <c r="GF31" s="2">
        <v>2023641234</v>
      </c>
      <c r="GG31" s="2">
        <v>2</v>
      </c>
      <c r="GH31" s="2">
        <v>1</v>
      </c>
      <c r="GI31" s="2">
        <v>-2</v>
      </c>
      <c r="GJ31" s="2">
        <v>0</v>
      </c>
      <c r="GK31" s="2">
        <v>0</v>
      </c>
      <c r="GL31" s="2">
        <f t="shared" si="35"/>
        <v>0</v>
      </c>
      <c r="GM31" s="2">
        <f t="shared" si="36"/>
        <v>4719</v>
      </c>
      <c r="GN31" s="2">
        <f t="shared" si="37"/>
        <v>4719</v>
      </c>
      <c r="GO31" s="2">
        <f t="shared" si="38"/>
        <v>0</v>
      </c>
      <c r="GP31" s="2">
        <f t="shared" si="39"/>
        <v>0</v>
      </c>
      <c r="GQ31" s="2"/>
      <c r="GR31" s="2">
        <v>0</v>
      </c>
      <c r="GS31" s="2">
        <v>3</v>
      </c>
      <c r="GT31" s="2">
        <v>0</v>
      </c>
      <c r="GU31" s="2" t="s">
        <v>6</v>
      </c>
      <c r="GV31" s="2">
        <f t="shared" si="40"/>
        <v>0</v>
      </c>
      <c r="GW31" s="2">
        <v>1</v>
      </c>
      <c r="GX31" s="2">
        <f t="shared" si="41"/>
        <v>0</v>
      </c>
      <c r="GY31" s="2"/>
      <c r="GZ31" s="2"/>
      <c r="HA31" s="2">
        <v>0</v>
      </c>
      <c r="HB31" s="2">
        <v>0</v>
      </c>
      <c r="HC31" s="2">
        <f t="shared" si="42"/>
        <v>0</v>
      </c>
      <c r="HD31" s="2"/>
      <c r="HE31" s="2" t="s">
        <v>6</v>
      </c>
      <c r="HF31" s="2" t="s">
        <v>6</v>
      </c>
      <c r="HG31" s="2"/>
      <c r="HH31" s="2"/>
      <c r="HI31" s="2"/>
      <c r="HJ31" s="2"/>
      <c r="HK31" s="2"/>
      <c r="HL31" s="2"/>
      <c r="HM31" s="2" t="s">
        <v>6</v>
      </c>
      <c r="HN31" s="2" t="s">
        <v>6</v>
      </c>
      <c r="HO31" s="2" t="s">
        <v>6</v>
      </c>
      <c r="HP31" s="2" t="s">
        <v>6</v>
      </c>
      <c r="HQ31" s="2" t="s">
        <v>6</v>
      </c>
      <c r="HR31" s="2"/>
      <c r="HS31" s="2"/>
      <c r="HT31" s="2"/>
      <c r="HU31" s="2"/>
      <c r="HV31" s="2"/>
      <c r="HW31" s="2"/>
      <c r="HX31" s="2"/>
      <c r="HY31" s="2"/>
      <c r="HZ31" s="2"/>
      <c r="IA31" s="2"/>
      <c r="IB31" s="2"/>
      <c r="IC31" s="2"/>
      <c r="ID31" s="2"/>
      <c r="IE31" s="2"/>
      <c r="IF31" s="2">
        <v>-1</v>
      </c>
      <c r="IG31" s="2"/>
      <c r="IH31" s="2"/>
      <c r="II31" s="2"/>
      <c r="IJ31" s="2"/>
      <c r="IK31" s="2">
        <v>0</v>
      </c>
      <c r="IL31" s="2" t="s">
        <v>209</v>
      </c>
      <c r="IM31" s="2">
        <v>1.4420999999999999</v>
      </c>
      <c r="IN31" s="2"/>
      <c r="IO31" s="2"/>
      <c r="IP31" s="2"/>
      <c r="IQ31" s="2"/>
      <c r="IR31" s="2"/>
      <c r="IS31" s="2"/>
      <c r="IT31" s="2"/>
      <c r="IU31" s="2"/>
    </row>
    <row r="32" spans="1:255" x14ac:dyDescent="0.2">
      <c r="A32">
        <v>17</v>
      </c>
      <c r="B32">
        <v>1</v>
      </c>
      <c r="C32">
        <f>ROW(SmtRes!A16)</f>
        <v>16</v>
      </c>
      <c r="D32">
        <f>ROW(EtalonRes!A18)</f>
        <v>18</v>
      </c>
      <c r="E32" t="s">
        <v>37</v>
      </c>
      <c r="F32" t="s">
        <v>38</v>
      </c>
      <c r="G32" t="s">
        <v>39</v>
      </c>
      <c r="H32" t="s">
        <v>40</v>
      </c>
      <c r="I32">
        <f>'2.Лок.смета.и.Акт в ЕР'!E72</f>
        <v>1.4420999999999999</v>
      </c>
      <c r="J32">
        <v>0</v>
      </c>
      <c r="K32">
        <f>ROUND(144.21/100,9)</f>
        <v>1.4420999999999999</v>
      </c>
      <c r="O32">
        <f t="shared" si="14"/>
        <v>53126</v>
      </c>
      <c r="P32">
        <f t="shared" si="15"/>
        <v>0</v>
      </c>
      <c r="Q32">
        <f t="shared" si="16"/>
        <v>0</v>
      </c>
      <c r="R32">
        <f t="shared" si="17"/>
        <v>0</v>
      </c>
      <c r="S32">
        <f t="shared" si="18"/>
        <v>53126</v>
      </c>
      <c r="T32">
        <f t="shared" si="19"/>
        <v>0</v>
      </c>
      <c r="U32">
        <f t="shared" si="20"/>
        <v>266.50007999999997</v>
      </c>
      <c r="V32">
        <f t="shared" si="21"/>
        <v>0</v>
      </c>
      <c r="W32">
        <f t="shared" si="22"/>
        <v>0</v>
      </c>
      <c r="X32">
        <f t="shared" si="23"/>
        <v>40376</v>
      </c>
      <c r="Y32">
        <f t="shared" si="23"/>
        <v>20188</v>
      </c>
      <c r="AA32">
        <v>62803416</v>
      </c>
      <c r="AB32">
        <f t="shared" si="24"/>
        <v>1454.38</v>
      </c>
      <c r="AC32">
        <f>ROUND((ES32),2)</f>
        <v>0</v>
      </c>
      <c r="AD32">
        <f>ROUND((((ET32)-(EU32))+AE32),2)</f>
        <v>0</v>
      </c>
      <c r="AE32">
        <f>ROUND((EU32),2)</f>
        <v>0</v>
      </c>
      <c r="AF32">
        <f>ROUND(((EV32*1.2)),2)</f>
        <v>1454.38</v>
      </c>
      <c r="AG32">
        <f t="shared" si="25"/>
        <v>0</v>
      </c>
      <c r="AH32">
        <f>((EW32*1.2))</f>
        <v>184.79999999999998</v>
      </c>
      <c r="AI32">
        <f>(EX32)</f>
        <v>0</v>
      </c>
      <c r="AJ32">
        <f t="shared" si="27"/>
        <v>0</v>
      </c>
      <c r="AK32" s="77">
        <f>AL32+AM32+AO32</f>
        <v>1211.98</v>
      </c>
      <c r="AL32">
        <v>0</v>
      </c>
      <c r="AM32">
        <v>0</v>
      </c>
      <c r="AN32">
        <v>0</v>
      </c>
      <c r="AO32" s="77">
        <f>'2.Лок.смета.и.Акт в ЕР'!F74</f>
        <v>1211.98</v>
      </c>
      <c r="AP32">
        <v>0</v>
      </c>
      <c r="AQ32">
        <f>'2.Лок.смета.и.Акт в ЕР'!E77</f>
        <v>154</v>
      </c>
      <c r="AR32">
        <v>0</v>
      </c>
      <c r="AS32">
        <v>0</v>
      </c>
      <c r="AT32">
        <v>76</v>
      </c>
      <c r="AU32">
        <v>38</v>
      </c>
      <c r="AV32">
        <v>1</v>
      </c>
      <c r="AW32">
        <v>1</v>
      </c>
      <c r="AZ32">
        <v>1</v>
      </c>
      <c r="BA32">
        <f>'2.Лок.смета.и.Акт в ЕР'!J74</f>
        <v>25.33</v>
      </c>
      <c r="BB32">
        <v>6.41</v>
      </c>
      <c r="BC32">
        <v>7.56</v>
      </c>
      <c r="BD32" t="s">
        <v>6</v>
      </c>
      <c r="BE32" t="s">
        <v>6</v>
      </c>
      <c r="BF32" t="s">
        <v>6</v>
      </c>
      <c r="BG32" t="s">
        <v>6</v>
      </c>
      <c r="BH32">
        <v>0</v>
      </c>
      <c r="BI32">
        <v>1</v>
      </c>
      <c r="BJ32" t="s">
        <v>41</v>
      </c>
      <c r="BM32">
        <v>1003</v>
      </c>
      <c r="BN32">
        <v>0</v>
      </c>
      <c r="BO32" t="s">
        <v>38</v>
      </c>
      <c r="BP32">
        <v>1</v>
      </c>
      <c r="BQ32">
        <v>1</v>
      </c>
      <c r="BR32">
        <v>0</v>
      </c>
      <c r="BS32">
        <v>18.329999999999998</v>
      </c>
      <c r="BT32">
        <v>1</v>
      </c>
      <c r="BU32">
        <v>1</v>
      </c>
      <c r="BV32">
        <v>1</v>
      </c>
      <c r="BW32">
        <v>1</v>
      </c>
      <c r="BX32">
        <v>1</v>
      </c>
      <c r="BY32" t="s">
        <v>6</v>
      </c>
      <c r="BZ32">
        <v>76</v>
      </c>
      <c r="CA32">
        <v>38</v>
      </c>
      <c r="CB32" t="s">
        <v>6</v>
      </c>
      <c r="CE32">
        <v>0</v>
      </c>
      <c r="CF32">
        <v>0</v>
      </c>
      <c r="CG32">
        <v>0</v>
      </c>
      <c r="CM32">
        <v>0</v>
      </c>
      <c r="CN32" t="s">
        <v>42</v>
      </c>
      <c r="CO32">
        <v>0</v>
      </c>
      <c r="CP32">
        <f t="shared" si="28"/>
        <v>53126</v>
      </c>
      <c r="CQ32">
        <f t="shared" si="29"/>
        <v>0</v>
      </c>
      <c r="CR32">
        <f t="shared" si="30"/>
        <v>0</v>
      </c>
      <c r="CS32">
        <f t="shared" si="31"/>
        <v>0</v>
      </c>
      <c r="CT32">
        <f t="shared" si="32"/>
        <v>36839.445399999997</v>
      </c>
      <c r="CU32">
        <f t="shared" si="33"/>
        <v>0</v>
      </c>
      <c r="CV32">
        <f t="shared" si="33"/>
        <v>184.79999999999998</v>
      </c>
      <c r="CW32">
        <f t="shared" si="33"/>
        <v>0</v>
      </c>
      <c r="CX32">
        <f t="shared" si="33"/>
        <v>0</v>
      </c>
      <c r="CY32">
        <f>(S32+R32)*(BZ32/100)</f>
        <v>40375.760000000002</v>
      </c>
      <c r="CZ32">
        <f>(S32+R32)*(CA32/100)</f>
        <v>20187.88</v>
      </c>
      <c r="DC32" t="s">
        <v>6</v>
      </c>
      <c r="DD32" t="s">
        <v>6</v>
      </c>
      <c r="DE32" t="s">
        <v>6</v>
      </c>
      <c r="DF32" t="s">
        <v>6</v>
      </c>
      <c r="DG32" t="s">
        <v>43</v>
      </c>
      <c r="DH32" t="s">
        <v>6</v>
      </c>
      <c r="DI32" t="s">
        <v>43</v>
      </c>
      <c r="DJ32" t="s">
        <v>6</v>
      </c>
      <c r="DK32" t="s">
        <v>6</v>
      </c>
      <c r="DL32" t="s">
        <v>6</v>
      </c>
      <c r="DM32" t="s">
        <v>6</v>
      </c>
      <c r="DN32">
        <f>'2.Лок.смета.и.Акт в ЕР'!E75</f>
        <v>80</v>
      </c>
      <c r="DO32">
        <f>'2.Лок.смета.и.Акт в ЕР'!E76</f>
        <v>45</v>
      </c>
      <c r="DP32">
        <v>1</v>
      </c>
      <c r="DQ32">
        <v>1</v>
      </c>
      <c r="DU32">
        <v>1013</v>
      </c>
      <c r="DV32" t="s">
        <v>40</v>
      </c>
      <c r="DW32" t="str">
        <f>'2.Лок.смета.и.Акт в ЕР'!D72</f>
        <v>100 м3 грунта</v>
      </c>
      <c r="DX32">
        <v>1</v>
      </c>
      <c r="DZ32" t="s">
        <v>6</v>
      </c>
      <c r="EA32" t="s">
        <v>6</v>
      </c>
      <c r="EB32" t="s">
        <v>6</v>
      </c>
      <c r="EC32" t="s">
        <v>6</v>
      </c>
      <c r="EE32">
        <v>53008006</v>
      </c>
      <c r="EF32">
        <v>1</v>
      </c>
      <c r="EG32" t="s">
        <v>22</v>
      </c>
      <c r="EH32">
        <v>0</v>
      </c>
      <c r="EI32" t="s">
        <v>6</v>
      </c>
      <c r="EJ32">
        <v>1</v>
      </c>
      <c r="EK32">
        <v>1003</v>
      </c>
      <c r="EL32" t="s">
        <v>44</v>
      </c>
      <c r="EM32" t="s">
        <v>24</v>
      </c>
      <c r="EO32" t="s">
        <v>45</v>
      </c>
      <c r="EQ32">
        <v>131072</v>
      </c>
      <c r="ER32" s="77">
        <f>ES32+ET32+EV32</f>
        <v>1211.98</v>
      </c>
      <c r="ES32">
        <v>0</v>
      </c>
      <c r="ET32">
        <v>0</v>
      </c>
      <c r="EU32">
        <v>0</v>
      </c>
      <c r="EV32" s="77">
        <f>'2.Лок.смета.и.Акт в ЕР'!F74</f>
        <v>1211.98</v>
      </c>
      <c r="EW32">
        <f>'2.Лок.смета.и.Акт в ЕР'!E77</f>
        <v>154</v>
      </c>
      <c r="EX32">
        <v>0</v>
      </c>
      <c r="EY32">
        <v>0</v>
      </c>
      <c r="FQ32">
        <v>0</v>
      </c>
      <c r="FR32">
        <f t="shared" si="34"/>
        <v>0</v>
      </c>
      <c r="FS32">
        <v>0</v>
      </c>
      <c r="FX32">
        <v>80</v>
      </c>
      <c r="FY32">
        <v>45</v>
      </c>
      <c r="GA32" t="s">
        <v>6</v>
      </c>
      <c r="GD32">
        <v>1</v>
      </c>
      <c r="GF32">
        <v>2023641234</v>
      </c>
      <c r="GG32">
        <v>2</v>
      </c>
      <c r="GH32">
        <v>1</v>
      </c>
      <c r="GI32">
        <v>2</v>
      </c>
      <c r="GJ32">
        <v>0</v>
      </c>
      <c r="GK32">
        <v>0</v>
      </c>
      <c r="GL32">
        <f t="shared" si="35"/>
        <v>0</v>
      </c>
      <c r="GM32">
        <f t="shared" si="36"/>
        <v>113690</v>
      </c>
      <c r="GN32">
        <f t="shared" si="37"/>
        <v>113690</v>
      </c>
      <c r="GO32">
        <f t="shared" si="38"/>
        <v>0</v>
      </c>
      <c r="GP32">
        <f t="shared" si="39"/>
        <v>0</v>
      </c>
      <c r="GR32">
        <v>0</v>
      </c>
      <c r="GS32">
        <v>3</v>
      </c>
      <c r="GT32">
        <v>0</v>
      </c>
      <c r="GU32" t="s">
        <v>6</v>
      </c>
      <c r="GV32">
        <f t="shared" si="40"/>
        <v>0</v>
      </c>
      <c r="GW32">
        <v>1010.2</v>
      </c>
      <c r="GX32">
        <f t="shared" si="41"/>
        <v>0</v>
      </c>
      <c r="HA32">
        <v>0</v>
      </c>
      <c r="HB32">
        <v>0</v>
      </c>
      <c r="HC32">
        <f t="shared" si="42"/>
        <v>0</v>
      </c>
      <c r="HE32" t="s">
        <v>6</v>
      </c>
      <c r="HF32" t="s">
        <v>6</v>
      </c>
      <c r="HM32" t="s">
        <v>6</v>
      </c>
      <c r="HN32" t="s">
        <v>6</v>
      </c>
      <c r="HO32" t="s">
        <v>6</v>
      </c>
      <c r="HP32" t="s">
        <v>6</v>
      </c>
      <c r="HQ32" t="s">
        <v>6</v>
      </c>
      <c r="IF32">
        <v>-1</v>
      </c>
      <c r="IK32">
        <v>0</v>
      </c>
      <c r="IL32" t="s">
        <v>209</v>
      </c>
      <c r="IM32">
        <v>1.4420999999999999</v>
      </c>
    </row>
    <row r="33" spans="1:240" x14ac:dyDescent="0.2">
      <c r="IF33">
        <v>-1</v>
      </c>
    </row>
    <row r="34" spans="1:240" x14ac:dyDescent="0.2">
      <c r="A34" s="3">
        <v>51</v>
      </c>
      <c r="B34" s="3">
        <f>B20</f>
        <v>1</v>
      </c>
      <c r="C34" s="3">
        <f>A20</f>
        <v>3</v>
      </c>
      <c r="D34" s="3">
        <f>ROW(A20)</f>
        <v>20</v>
      </c>
      <c r="E34" s="3"/>
      <c r="F34" s="3" t="str">
        <f>IF(F20&lt;&gt;"",F20,"")</f>
        <v>5.1.1.1</v>
      </c>
      <c r="G34" s="3" t="str">
        <f>IF(G20&lt;&gt;"",G20,"")</f>
        <v>Устройство котлована</v>
      </c>
      <c r="H34" s="3">
        <v>0</v>
      </c>
      <c r="I34" s="3"/>
      <c r="J34" s="3"/>
      <c r="K34" s="3"/>
      <c r="L34" s="3"/>
      <c r="M34" s="3"/>
      <c r="N34" s="3"/>
      <c r="O34" s="3">
        <f t="shared" ref="O34:T34" si="43">ROUND(AB34,0)</f>
        <v>29890</v>
      </c>
      <c r="P34" s="3">
        <f t="shared" si="43"/>
        <v>0</v>
      </c>
      <c r="Q34" s="3">
        <f t="shared" si="43"/>
        <v>27701</v>
      </c>
      <c r="R34" s="3">
        <f t="shared" si="43"/>
        <v>1304</v>
      </c>
      <c r="S34" s="3">
        <f t="shared" si="43"/>
        <v>2189</v>
      </c>
      <c r="T34" s="3">
        <f t="shared" si="43"/>
        <v>0</v>
      </c>
      <c r="U34" s="3">
        <f>AH34</f>
        <v>278.18263499999995</v>
      </c>
      <c r="V34" s="3">
        <f>AI34</f>
        <v>95.796950999999993</v>
      </c>
      <c r="W34" s="3">
        <f>ROUND(AJ34,0)</f>
        <v>0</v>
      </c>
      <c r="X34" s="3">
        <f>ROUND(AK34,0)</f>
        <v>3004</v>
      </c>
      <c r="Y34" s="3">
        <f>ROUND(AL34,0)</f>
        <v>1643</v>
      </c>
      <c r="Z34" s="3"/>
      <c r="AA34" s="3"/>
      <c r="AB34" s="3">
        <f>ROUND(SUMIF(AA24:AA32,"=62803415",O24:O32),0)</f>
        <v>29890</v>
      </c>
      <c r="AC34" s="3">
        <f>ROUND(SUMIF(AA24:AA32,"=62803415",P24:P32),0)</f>
        <v>0</v>
      </c>
      <c r="AD34" s="3">
        <f>ROUND(SUMIF(AA24:AA32,"=62803415",Q24:Q32),0)</f>
        <v>27701</v>
      </c>
      <c r="AE34" s="3">
        <f>ROUND(SUMIF(AA24:AA32,"=62803415",R24:R32),0)</f>
        <v>1304</v>
      </c>
      <c r="AF34" s="3">
        <f>ROUND(SUMIF(AA24:AA32,"=62803415",S24:S32),0)</f>
        <v>2189</v>
      </c>
      <c r="AG34" s="3">
        <f>ROUND(SUMIF(AA24:AA32,"=62803415",T24:T32),0)</f>
        <v>0</v>
      </c>
      <c r="AH34" s="3">
        <f>SUMIF(AA24:AA32,"=62803415",U24:U32)</f>
        <v>278.18263499999995</v>
      </c>
      <c r="AI34" s="3">
        <f>SUMIF(AA24:AA32,"=62803415",V24:V32)</f>
        <v>95.796950999999993</v>
      </c>
      <c r="AJ34" s="3">
        <f>ROUND(SUMIF(AA24:AA32,"=62803415",W24:W32),0)</f>
        <v>0</v>
      </c>
      <c r="AK34" s="3">
        <f>ROUND(SUMIF(AA24:AA32,"=62803415",X24:X32),0)</f>
        <v>3004</v>
      </c>
      <c r="AL34" s="3">
        <f>ROUND(SUMIF(AA24:AA32,"=62803415",Y24:Y32),0)</f>
        <v>1643</v>
      </c>
      <c r="AM34" s="3"/>
      <c r="AN34" s="3"/>
      <c r="AO34" s="3">
        <f t="shared" ref="AO34:BD34" si="44">ROUND(BX34,0)</f>
        <v>0</v>
      </c>
      <c r="AP34" s="3">
        <f t="shared" si="44"/>
        <v>0</v>
      </c>
      <c r="AQ34" s="3">
        <f t="shared" si="44"/>
        <v>0</v>
      </c>
      <c r="AR34" s="3">
        <f t="shared" si="44"/>
        <v>34537</v>
      </c>
      <c r="AS34" s="3">
        <f t="shared" si="44"/>
        <v>34537</v>
      </c>
      <c r="AT34" s="3">
        <f t="shared" si="44"/>
        <v>0</v>
      </c>
      <c r="AU34" s="3">
        <f t="shared" si="44"/>
        <v>0</v>
      </c>
      <c r="AV34" s="3">
        <f t="shared" si="44"/>
        <v>0</v>
      </c>
      <c r="AW34" s="3">
        <f t="shared" si="44"/>
        <v>0</v>
      </c>
      <c r="AX34" s="3">
        <f t="shared" si="44"/>
        <v>0</v>
      </c>
      <c r="AY34" s="3">
        <f t="shared" si="44"/>
        <v>0</v>
      </c>
      <c r="AZ34" s="3">
        <f t="shared" si="44"/>
        <v>0</v>
      </c>
      <c r="BA34" s="3">
        <f t="shared" si="44"/>
        <v>0</v>
      </c>
      <c r="BB34" s="3">
        <f t="shared" si="44"/>
        <v>0</v>
      </c>
      <c r="BC34" s="3">
        <f t="shared" si="44"/>
        <v>0</v>
      </c>
      <c r="BD34" s="3">
        <f t="shared" si="44"/>
        <v>16406</v>
      </c>
      <c r="BE34" s="3"/>
      <c r="BF34" s="3"/>
      <c r="BG34" s="3"/>
      <c r="BH34" s="3"/>
      <c r="BI34" s="3"/>
      <c r="BJ34" s="3"/>
      <c r="BK34" s="3"/>
      <c r="BL34" s="3"/>
      <c r="BM34" s="3"/>
      <c r="BN34" s="3"/>
      <c r="BO34" s="3"/>
      <c r="BP34" s="3"/>
      <c r="BQ34" s="3"/>
      <c r="BR34" s="3"/>
      <c r="BS34" s="3"/>
      <c r="BT34" s="3"/>
      <c r="BU34" s="3"/>
      <c r="BV34" s="3"/>
      <c r="BW34" s="3"/>
      <c r="BX34" s="3">
        <f>ROUND(SUMIF(AA24:AA32,"=62803415",FQ24:FQ32),0)</f>
        <v>0</v>
      </c>
      <c r="BY34" s="3">
        <f>ROUND(SUMIF(AA24:AA32,"=62803415",FR24:FR32),0)</f>
        <v>0</v>
      </c>
      <c r="BZ34" s="3">
        <f>ROUND(SUMIF(AA24:AA32,"=62803415",GL24:GL32),0)</f>
        <v>0</v>
      </c>
      <c r="CA34" s="3">
        <f>ROUND(SUMIF(AA24:AA32,"=62803415",GM24:GM32),0)</f>
        <v>34537</v>
      </c>
      <c r="CB34" s="3">
        <f>ROUND(SUMIF(AA24:AA32,"=62803415",GN24:GN32),0)</f>
        <v>34537</v>
      </c>
      <c r="CC34" s="3">
        <f>ROUND(SUMIF(AA24:AA32,"=62803415",GO24:GO32),0)</f>
        <v>0</v>
      </c>
      <c r="CD34" s="3">
        <f>ROUND(SUMIF(AA24:AA32,"=62803415",GP24:GP32),0)</f>
        <v>0</v>
      </c>
      <c r="CE34" s="3">
        <f>AC34-BX34</f>
        <v>0</v>
      </c>
      <c r="CF34" s="3">
        <f>AC34-BY34</f>
        <v>0</v>
      </c>
      <c r="CG34" s="3">
        <f>BX34-BZ34</f>
        <v>0</v>
      </c>
      <c r="CH34" s="3">
        <f>AC34-BX34-BY34+BZ34</f>
        <v>0</v>
      </c>
      <c r="CI34" s="3">
        <f>BY34-BZ34</f>
        <v>0</v>
      </c>
      <c r="CJ34" s="3">
        <f>ROUND(SUMIF(AA24:AA32,"=62803415",GX24:GX32),0)</f>
        <v>0</v>
      </c>
      <c r="CK34" s="3">
        <f>ROUND(SUMIF(AA24:AA32,"=62803415",GY24:GY32),0)</f>
        <v>0</v>
      </c>
      <c r="CL34" s="3">
        <f>ROUND(SUMIF(AA24:AA32,"=62803415",GZ24:GZ32),0)</f>
        <v>0</v>
      </c>
      <c r="CM34" s="3">
        <f>ROUND(SUMIF(AA24:AA32,"=62803415",HD24:HD32),0)</f>
        <v>16406</v>
      </c>
      <c r="CN34" s="3"/>
      <c r="CO34" s="3"/>
      <c r="CP34" s="3"/>
      <c r="CQ34" s="3"/>
      <c r="CR34" s="3"/>
      <c r="CS34" s="3"/>
      <c r="CT34" s="3"/>
      <c r="CU34" s="3"/>
      <c r="CV34" s="3"/>
      <c r="CW34" s="3"/>
      <c r="CX34" s="3"/>
      <c r="CY34" s="3"/>
      <c r="CZ34" s="3"/>
      <c r="DA34" s="3"/>
      <c r="DB34" s="3"/>
      <c r="DC34" s="3"/>
      <c r="DD34" s="3"/>
      <c r="DE34" s="3"/>
      <c r="DF34" s="3"/>
      <c r="DG34" s="4">
        <f t="shared" ref="DG34:DL34" si="45">ROUND(DT34,0)</f>
        <v>244662</v>
      </c>
      <c r="DH34" s="4">
        <f t="shared" si="45"/>
        <v>0</v>
      </c>
      <c r="DI34" s="4">
        <f t="shared" si="45"/>
        <v>189207</v>
      </c>
      <c r="DJ34" s="4">
        <f t="shared" si="45"/>
        <v>23899</v>
      </c>
      <c r="DK34" s="4">
        <f t="shared" si="45"/>
        <v>55455</v>
      </c>
      <c r="DL34" s="4">
        <f t="shared" si="45"/>
        <v>0</v>
      </c>
      <c r="DM34" s="4">
        <f>DZ34</f>
        <v>278.18263499999995</v>
      </c>
      <c r="DN34" s="4">
        <f>EA34</f>
        <v>95.796950999999993</v>
      </c>
      <c r="DO34" s="4">
        <f>ROUND(EB34,0)</f>
        <v>0</v>
      </c>
      <c r="DP34" s="4">
        <f>ROUND(EC34,0)</f>
        <v>63981</v>
      </c>
      <c r="DQ34" s="4">
        <f>ROUND(ED34,0)</f>
        <v>31466</v>
      </c>
      <c r="DR34" s="4"/>
      <c r="DS34" s="4"/>
      <c r="DT34" s="4">
        <f>ROUND(SUMIF(AA24:AA32,"=62803416",O24:O32),0)</f>
        <v>244662</v>
      </c>
      <c r="DU34" s="4">
        <f>ROUND(SUMIF(AA24:AA32,"=62803416",P24:P32),0)</f>
        <v>0</v>
      </c>
      <c r="DV34" s="4">
        <f>ROUND(SUMIF(AA24:AA32,"=62803416",Q24:Q32),0)</f>
        <v>189207</v>
      </c>
      <c r="DW34" s="4">
        <f>ROUND(SUMIF(AA24:AA32,"=62803416",R24:R32),0)</f>
        <v>23899</v>
      </c>
      <c r="DX34" s="4">
        <f>ROUND(SUMIF(AA24:AA32,"=62803416",S24:S32),0)</f>
        <v>55455</v>
      </c>
      <c r="DY34" s="4">
        <f>ROUND(SUMIF(AA24:AA32,"=62803416",T24:T32),0)</f>
        <v>0</v>
      </c>
      <c r="DZ34" s="4">
        <f>SUMIF(AA24:AA32,"=62803416",U24:U32)</f>
        <v>278.18263499999995</v>
      </c>
      <c r="EA34" s="4">
        <f>SUMIF(AA24:AA32,"=62803416",V24:V32)</f>
        <v>95.796950999999993</v>
      </c>
      <c r="EB34" s="4">
        <f>ROUND(SUMIF(AA24:AA32,"=62803416",W24:W32),0)</f>
        <v>0</v>
      </c>
      <c r="EC34" s="4">
        <f>ROUND(SUMIF(AA24:AA32,"=62803416",X24:X32),0)</f>
        <v>63981</v>
      </c>
      <c r="ED34" s="4">
        <f>ROUND(SUMIF(AA24:AA32,"=62803416",Y24:Y32),0)</f>
        <v>31466</v>
      </c>
      <c r="EE34" s="4"/>
      <c r="EF34" s="4"/>
      <c r="EG34" s="4">
        <f t="shared" ref="EG34:EV34" si="46">ROUND(FP34,0)</f>
        <v>0</v>
      </c>
      <c r="EH34" s="4">
        <f t="shared" si="46"/>
        <v>0</v>
      </c>
      <c r="EI34" s="4">
        <f t="shared" si="46"/>
        <v>0</v>
      </c>
      <c r="EJ34" s="4">
        <f t="shared" si="46"/>
        <v>340109</v>
      </c>
      <c r="EK34" s="4">
        <f t="shared" si="46"/>
        <v>340109</v>
      </c>
      <c r="EL34" s="4">
        <f t="shared" si="46"/>
        <v>0</v>
      </c>
      <c r="EM34" s="4">
        <f t="shared" si="46"/>
        <v>0</v>
      </c>
      <c r="EN34" s="4">
        <f t="shared" si="46"/>
        <v>0</v>
      </c>
      <c r="EO34" s="4">
        <f t="shared" si="46"/>
        <v>0</v>
      </c>
      <c r="EP34" s="4">
        <f t="shared" si="46"/>
        <v>0</v>
      </c>
      <c r="EQ34" s="4">
        <f t="shared" si="46"/>
        <v>0</v>
      </c>
      <c r="ER34" s="4">
        <f t="shared" si="46"/>
        <v>0</v>
      </c>
      <c r="ES34" s="4">
        <f t="shared" si="46"/>
        <v>0</v>
      </c>
      <c r="ET34" s="4">
        <f t="shared" si="46"/>
        <v>0</v>
      </c>
      <c r="EU34" s="4">
        <f t="shared" si="46"/>
        <v>0</v>
      </c>
      <c r="EV34" s="4">
        <f t="shared" si="46"/>
        <v>116807</v>
      </c>
      <c r="EW34" s="4"/>
      <c r="EX34" s="4"/>
      <c r="EY34" s="4"/>
      <c r="EZ34" s="4"/>
      <c r="FA34" s="4"/>
      <c r="FB34" s="4"/>
      <c r="FC34" s="4"/>
      <c r="FD34" s="4"/>
      <c r="FE34" s="4"/>
      <c r="FF34" s="4"/>
      <c r="FG34" s="4"/>
      <c r="FH34" s="4"/>
      <c r="FI34" s="4"/>
      <c r="FJ34" s="4"/>
      <c r="FK34" s="4"/>
      <c r="FL34" s="4"/>
      <c r="FM34" s="4"/>
      <c r="FN34" s="4"/>
      <c r="FO34" s="4"/>
      <c r="FP34" s="4">
        <f>ROUND(SUMIF(AA24:AA32,"=62803416",FQ24:FQ32),0)</f>
        <v>0</v>
      </c>
      <c r="FQ34" s="4">
        <f>ROUND(SUMIF(AA24:AA32,"=62803416",FR24:FR32),0)</f>
        <v>0</v>
      </c>
      <c r="FR34" s="4">
        <f>ROUND(SUMIF(AA24:AA32,"=62803416",GL24:GL32),0)</f>
        <v>0</v>
      </c>
      <c r="FS34" s="4">
        <f>ROUND(SUMIF(AA24:AA32,"=62803416",GM24:GM32),0)</f>
        <v>340109</v>
      </c>
      <c r="FT34" s="4">
        <f>ROUND(SUMIF(AA24:AA32,"=62803416",GN24:GN32),0)</f>
        <v>340109</v>
      </c>
      <c r="FU34" s="4">
        <f>ROUND(SUMIF(AA24:AA32,"=62803416",GO24:GO32),0)</f>
        <v>0</v>
      </c>
      <c r="FV34" s="4">
        <f>ROUND(SUMIF(AA24:AA32,"=62803416",GP24:GP32),0)</f>
        <v>0</v>
      </c>
      <c r="FW34" s="4">
        <f>DU34-FP34</f>
        <v>0</v>
      </c>
      <c r="FX34" s="4">
        <f>DU34-FQ34</f>
        <v>0</v>
      </c>
      <c r="FY34" s="4">
        <f>FP34-FR34</f>
        <v>0</v>
      </c>
      <c r="FZ34" s="4">
        <f>DU34-FP34-FQ34+FR34</f>
        <v>0</v>
      </c>
      <c r="GA34" s="4">
        <f>FQ34-FR34</f>
        <v>0</v>
      </c>
      <c r="GB34" s="4">
        <f>ROUND(SUMIF(AA24:AA32,"=62803416",GX24:GX32),0)</f>
        <v>0</v>
      </c>
      <c r="GC34" s="4">
        <f>ROUND(SUMIF(AA24:AA32,"=62803416",GY24:GY32),0)</f>
        <v>0</v>
      </c>
      <c r="GD34" s="4">
        <f>ROUND(SUMIF(AA24:AA32,"=62803416",GZ24:GZ32),0)</f>
        <v>0</v>
      </c>
      <c r="GE34" s="4">
        <f>ROUND(SUMIF(AA24:AA32,"=62803416",HD24:HD32),0)</f>
        <v>116807</v>
      </c>
      <c r="GF34" s="4"/>
      <c r="GG34" s="4"/>
      <c r="GH34" s="4"/>
      <c r="GI34" s="4"/>
      <c r="GJ34" s="4"/>
      <c r="GK34" s="4"/>
      <c r="GL34" s="4"/>
      <c r="GM34" s="4"/>
      <c r="GN34" s="4"/>
      <c r="GO34" s="4"/>
      <c r="GP34" s="4"/>
      <c r="GQ34" s="4"/>
      <c r="GR34" s="4"/>
      <c r="GS34" s="4"/>
      <c r="GT34" s="4"/>
      <c r="GU34" s="4"/>
      <c r="GV34" s="4"/>
      <c r="GW34" s="4"/>
      <c r="GX34" s="4">
        <v>0</v>
      </c>
      <c r="IF34">
        <v>-1</v>
      </c>
    </row>
    <row r="35" spans="1:240" x14ac:dyDescent="0.2">
      <c r="IF35">
        <v>-1</v>
      </c>
    </row>
    <row r="36" spans="1:240" x14ac:dyDescent="0.2">
      <c r="A36" s="5">
        <v>50</v>
      </c>
      <c r="B36" s="5">
        <v>0</v>
      </c>
      <c r="C36" s="5">
        <v>0</v>
      </c>
      <c r="D36" s="5">
        <v>1</v>
      </c>
      <c r="E36" s="5">
        <v>201</v>
      </c>
      <c r="F36" s="5">
        <f>ROUND(Source!O34,O36)</f>
        <v>29890</v>
      </c>
      <c r="G36" s="5" t="s">
        <v>46</v>
      </c>
      <c r="H36" s="5" t="s">
        <v>47</v>
      </c>
      <c r="I36" s="5"/>
      <c r="J36" s="5"/>
      <c r="K36" s="5">
        <v>201</v>
      </c>
      <c r="L36" s="5">
        <v>1</v>
      </c>
      <c r="M36" s="5">
        <v>3</v>
      </c>
      <c r="N36" s="5" t="s">
        <v>6</v>
      </c>
      <c r="O36" s="5">
        <v>0</v>
      </c>
      <c r="P36" s="5">
        <f>ROUND(Source!DG34,O36)</f>
        <v>244662</v>
      </c>
      <c r="Q36" s="5"/>
      <c r="R36" s="5"/>
      <c r="S36" s="5"/>
      <c r="T36" s="5"/>
      <c r="U36" s="5"/>
      <c r="V36" s="5"/>
      <c r="W36" s="5">
        <v>29890</v>
      </c>
      <c r="X36" s="5">
        <v>1</v>
      </c>
      <c r="Y36" s="5">
        <v>29890</v>
      </c>
      <c r="Z36" s="5">
        <v>244662</v>
      </c>
      <c r="AA36" s="5">
        <v>1</v>
      </c>
      <c r="AB36" s="5">
        <v>244662</v>
      </c>
      <c r="IF36">
        <v>-1</v>
      </c>
    </row>
    <row r="37" spans="1:240" x14ac:dyDescent="0.2">
      <c r="A37" s="5">
        <v>50</v>
      </c>
      <c r="B37" s="5">
        <v>0</v>
      </c>
      <c r="C37" s="5">
        <v>0</v>
      </c>
      <c r="D37" s="5">
        <v>1</v>
      </c>
      <c r="E37" s="5">
        <v>202</v>
      </c>
      <c r="F37" s="5">
        <f>ROUND(Source!P34,O37)</f>
        <v>0</v>
      </c>
      <c r="G37" s="5" t="s">
        <v>48</v>
      </c>
      <c r="H37" s="5" t="s">
        <v>49</v>
      </c>
      <c r="I37" s="5"/>
      <c r="J37" s="5"/>
      <c r="K37" s="5">
        <v>202</v>
      </c>
      <c r="L37" s="5">
        <v>2</v>
      </c>
      <c r="M37" s="5">
        <v>3</v>
      </c>
      <c r="N37" s="5" t="s">
        <v>6</v>
      </c>
      <c r="O37" s="5">
        <v>0</v>
      </c>
      <c r="P37" s="5">
        <f>ROUND(Source!DH34,O37)</f>
        <v>0</v>
      </c>
      <c r="Q37" s="5"/>
      <c r="R37" s="5"/>
      <c r="S37" s="5"/>
      <c r="T37" s="5"/>
      <c r="U37" s="5"/>
      <c r="V37" s="5"/>
      <c r="W37" s="5">
        <v>0</v>
      </c>
      <c r="X37" s="5">
        <v>1</v>
      </c>
      <c r="Y37" s="5">
        <v>0</v>
      </c>
      <c r="Z37" s="5">
        <v>0</v>
      </c>
      <c r="AA37" s="5">
        <v>1</v>
      </c>
      <c r="AB37" s="5">
        <v>0</v>
      </c>
      <c r="IF37">
        <v>-1</v>
      </c>
    </row>
    <row r="38" spans="1:240" x14ac:dyDescent="0.2">
      <c r="A38" s="5">
        <v>50</v>
      </c>
      <c r="B38" s="5">
        <v>0</v>
      </c>
      <c r="C38" s="5">
        <v>0</v>
      </c>
      <c r="D38" s="5">
        <v>1</v>
      </c>
      <c r="E38" s="5">
        <v>222</v>
      </c>
      <c r="F38" s="5">
        <f>ROUND(Source!AO34,O38)</f>
        <v>0</v>
      </c>
      <c r="G38" s="5" t="s">
        <v>50</v>
      </c>
      <c r="H38" s="5" t="s">
        <v>51</v>
      </c>
      <c r="I38" s="5"/>
      <c r="J38" s="5"/>
      <c r="K38" s="5">
        <v>222</v>
      </c>
      <c r="L38" s="5">
        <v>3</v>
      </c>
      <c r="M38" s="5">
        <v>3</v>
      </c>
      <c r="N38" s="5" t="s">
        <v>6</v>
      </c>
      <c r="O38" s="5">
        <v>0</v>
      </c>
      <c r="P38" s="5">
        <f>ROUND(Source!EG34,O38)</f>
        <v>0</v>
      </c>
      <c r="Q38" s="5"/>
      <c r="R38" s="5"/>
      <c r="S38" s="5"/>
      <c r="T38" s="5"/>
      <c r="U38" s="5"/>
      <c r="V38" s="5"/>
      <c r="W38" s="5">
        <v>0</v>
      </c>
      <c r="X38" s="5">
        <v>1</v>
      </c>
      <c r="Y38" s="5">
        <v>0</v>
      </c>
      <c r="Z38" s="5">
        <v>0</v>
      </c>
      <c r="AA38" s="5">
        <v>1</v>
      </c>
      <c r="AB38" s="5">
        <v>0</v>
      </c>
      <c r="IF38">
        <v>-1</v>
      </c>
    </row>
    <row r="39" spans="1:240" x14ac:dyDescent="0.2">
      <c r="A39" s="5">
        <v>50</v>
      </c>
      <c r="B39" s="5">
        <v>0</v>
      </c>
      <c r="C39" s="5">
        <v>0</v>
      </c>
      <c r="D39" s="5">
        <v>1</v>
      </c>
      <c r="E39" s="5">
        <v>225</v>
      </c>
      <c r="F39" s="5">
        <f>ROUND(Source!AV34,O39)</f>
        <v>0</v>
      </c>
      <c r="G39" s="5" t="s">
        <v>52</v>
      </c>
      <c r="H39" s="5" t="s">
        <v>53</v>
      </c>
      <c r="I39" s="5"/>
      <c r="J39" s="5"/>
      <c r="K39" s="5">
        <v>225</v>
      </c>
      <c r="L39" s="5">
        <v>4</v>
      </c>
      <c r="M39" s="5">
        <v>3</v>
      </c>
      <c r="N39" s="5" t="s">
        <v>6</v>
      </c>
      <c r="O39" s="5">
        <v>0</v>
      </c>
      <c r="P39" s="5">
        <f>ROUND(Source!EN34,O39)</f>
        <v>0</v>
      </c>
      <c r="Q39" s="5"/>
      <c r="R39" s="5"/>
      <c r="S39" s="5"/>
      <c r="T39" s="5"/>
      <c r="U39" s="5"/>
      <c r="V39" s="5"/>
      <c r="W39" s="5">
        <v>0</v>
      </c>
      <c r="X39" s="5">
        <v>1</v>
      </c>
      <c r="Y39" s="5">
        <v>0</v>
      </c>
      <c r="Z39" s="5">
        <v>0</v>
      </c>
      <c r="AA39" s="5">
        <v>1</v>
      </c>
      <c r="AB39" s="5">
        <v>0</v>
      </c>
      <c r="IF39">
        <v>-1</v>
      </c>
    </row>
    <row r="40" spans="1:240" x14ac:dyDescent="0.2">
      <c r="A40" s="5">
        <v>50</v>
      </c>
      <c r="B40" s="5">
        <v>0</v>
      </c>
      <c r="C40" s="5">
        <v>0</v>
      </c>
      <c r="D40" s="5">
        <v>1</v>
      </c>
      <c r="E40" s="5">
        <v>226</v>
      </c>
      <c r="F40" s="5">
        <f>ROUND(Source!AW34,O40)</f>
        <v>0</v>
      </c>
      <c r="G40" s="5" t="s">
        <v>54</v>
      </c>
      <c r="H40" s="5" t="s">
        <v>55</v>
      </c>
      <c r="I40" s="5"/>
      <c r="J40" s="5"/>
      <c r="K40" s="5">
        <v>226</v>
      </c>
      <c r="L40" s="5">
        <v>5</v>
      </c>
      <c r="M40" s="5">
        <v>3</v>
      </c>
      <c r="N40" s="5" t="s">
        <v>6</v>
      </c>
      <c r="O40" s="5">
        <v>0</v>
      </c>
      <c r="P40" s="5">
        <f>ROUND(Source!EO34,O40)</f>
        <v>0</v>
      </c>
      <c r="Q40" s="5"/>
      <c r="R40" s="5"/>
      <c r="S40" s="5"/>
      <c r="T40" s="5"/>
      <c r="U40" s="5"/>
      <c r="V40" s="5"/>
      <c r="W40" s="5">
        <v>0</v>
      </c>
      <c r="X40" s="5">
        <v>1</v>
      </c>
      <c r="Y40" s="5">
        <v>0</v>
      </c>
      <c r="Z40" s="5">
        <v>0</v>
      </c>
      <c r="AA40" s="5">
        <v>1</v>
      </c>
      <c r="AB40" s="5">
        <v>0</v>
      </c>
      <c r="IF40">
        <v>-1</v>
      </c>
    </row>
    <row r="41" spans="1:240" x14ac:dyDescent="0.2">
      <c r="A41" s="5">
        <v>50</v>
      </c>
      <c r="B41" s="5">
        <v>0</v>
      </c>
      <c r="C41" s="5">
        <v>0</v>
      </c>
      <c r="D41" s="5">
        <v>1</v>
      </c>
      <c r="E41" s="5">
        <v>227</v>
      </c>
      <c r="F41" s="5">
        <f>ROUND(Source!AX34,O41)</f>
        <v>0</v>
      </c>
      <c r="G41" s="5" t="s">
        <v>56</v>
      </c>
      <c r="H41" s="5" t="s">
        <v>57</v>
      </c>
      <c r="I41" s="5"/>
      <c r="J41" s="5"/>
      <c r="K41" s="5">
        <v>227</v>
      </c>
      <c r="L41" s="5">
        <v>6</v>
      </c>
      <c r="M41" s="5">
        <v>3</v>
      </c>
      <c r="N41" s="5" t="s">
        <v>6</v>
      </c>
      <c r="O41" s="5">
        <v>0</v>
      </c>
      <c r="P41" s="5">
        <f>ROUND(Source!EP34,O41)</f>
        <v>0</v>
      </c>
      <c r="Q41" s="5"/>
      <c r="R41" s="5"/>
      <c r="S41" s="5"/>
      <c r="T41" s="5"/>
      <c r="U41" s="5"/>
      <c r="V41" s="5"/>
      <c r="W41" s="5">
        <v>0</v>
      </c>
      <c r="X41" s="5">
        <v>1</v>
      </c>
      <c r="Y41" s="5">
        <v>0</v>
      </c>
      <c r="Z41" s="5">
        <v>0</v>
      </c>
      <c r="AA41" s="5">
        <v>1</v>
      </c>
      <c r="AB41" s="5">
        <v>0</v>
      </c>
      <c r="IF41">
        <v>-1</v>
      </c>
    </row>
    <row r="42" spans="1:240" x14ac:dyDescent="0.2">
      <c r="A42" s="5">
        <v>50</v>
      </c>
      <c r="B42" s="5">
        <v>0</v>
      </c>
      <c r="C42" s="5">
        <v>0</v>
      </c>
      <c r="D42" s="5">
        <v>1</v>
      </c>
      <c r="E42" s="5">
        <v>228</v>
      </c>
      <c r="F42" s="5">
        <f>ROUND(Source!AY34,O42)</f>
        <v>0</v>
      </c>
      <c r="G42" s="5" t="s">
        <v>58</v>
      </c>
      <c r="H42" s="5" t="s">
        <v>59</v>
      </c>
      <c r="I42" s="5"/>
      <c r="J42" s="5"/>
      <c r="K42" s="5">
        <v>228</v>
      </c>
      <c r="L42" s="5">
        <v>7</v>
      </c>
      <c r="M42" s="5">
        <v>3</v>
      </c>
      <c r="N42" s="5" t="s">
        <v>6</v>
      </c>
      <c r="O42" s="5">
        <v>0</v>
      </c>
      <c r="P42" s="5">
        <f>ROUND(Source!EQ34,O42)</f>
        <v>0</v>
      </c>
      <c r="Q42" s="5"/>
      <c r="R42" s="5"/>
      <c r="S42" s="5"/>
      <c r="T42" s="5"/>
      <c r="U42" s="5"/>
      <c r="V42" s="5"/>
      <c r="W42" s="5">
        <v>0</v>
      </c>
      <c r="X42" s="5">
        <v>1</v>
      </c>
      <c r="Y42" s="5">
        <v>0</v>
      </c>
      <c r="Z42" s="5">
        <v>0</v>
      </c>
      <c r="AA42" s="5">
        <v>1</v>
      </c>
      <c r="AB42" s="5">
        <v>0</v>
      </c>
      <c r="IF42">
        <v>-1</v>
      </c>
    </row>
    <row r="43" spans="1:240" x14ac:dyDescent="0.2">
      <c r="A43" s="5">
        <v>50</v>
      </c>
      <c r="B43" s="5">
        <v>0</v>
      </c>
      <c r="C43" s="5">
        <v>0</v>
      </c>
      <c r="D43" s="5">
        <v>1</v>
      </c>
      <c r="E43" s="5">
        <v>216</v>
      </c>
      <c r="F43" s="5">
        <f>ROUND(Source!AP34,O43)</f>
        <v>0</v>
      </c>
      <c r="G43" s="5" t="s">
        <v>60</v>
      </c>
      <c r="H43" s="5" t="s">
        <v>61</v>
      </c>
      <c r="I43" s="5"/>
      <c r="J43" s="5"/>
      <c r="K43" s="5">
        <v>216</v>
      </c>
      <c r="L43" s="5">
        <v>8</v>
      </c>
      <c r="M43" s="5">
        <v>3</v>
      </c>
      <c r="N43" s="5" t="s">
        <v>6</v>
      </c>
      <c r="O43" s="5">
        <v>0</v>
      </c>
      <c r="P43" s="5">
        <f>ROUND(Source!EH34,O43)</f>
        <v>0</v>
      </c>
      <c r="Q43" s="5"/>
      <c r="R43" s="5"/>
      <c r="S43" s="5"/>
      <c r="T43" s="5"/>
      <c r="U43" s="5"/>
      <c r="V43" s="5"/>
      <c r="W43" s="5">
        <v>0</v>
      </c>
      <c r="X43" s="5">
        <v>1</v>
      </c>
      <c r="Y43" s="5">
        <v>0</v>
      </c>
      <c r="Z43" s="5">
        <v>0</v>
      </c>
      <c r="AA43" s="5">
        <v>1</v>
      </c>
      <c r="AB43" s="5">
        <v>0</v>
      </c>
      <c r="IF43">
        <v>-1</v>
      </c>
    </row>
    <row r="44" spans="1:240" x14ac:dyDescent="0.2">
      <c r="A44" s="5">
        <v>50</v>
      </c>
      <c r="B44" s="5">
        <v>0</v>
      </c>
      <c r="C44" s="5">
        <v>0</v>
      </c>
      <c r="D44" s="5">
        <v>1</v>
      </c>
      <c r="E44" s="5">
        <v>223</v>
      </c>
      <c r="F44" s="5">
        <f>ROUND(Source!AQ34,O44)</f>
        <v>0</v>
      </c>
      <c r="G44" s="5" t="s">
        <v>62</v>
      </c>
      <c r="H44" s="5" t="s">
        <v>63</v>
      </c>
      <c r="I44" s="5"/>
      <c r="J44" s="5"/>
      <c r="K44" s="5">
        <v>223</v>
      </c>
      <c r="L44" s="5">
        <v>9</v>
      </c>
      <c r="M44" s="5">
        <v>3</v>
      </c>
      <c r="N44" s="5" t="s">
        <v>6</v>
      </c>
      <c r="O44" s="5">
        <v>0</v>
      </c>
      <c r="P44" s="5">
        <f>ROUND(Source!EI34,O44)</f>
        <v>0</v>
      </c>
      <c r="Q44" s="5"/>
      <c r="R44" s="5"/>
      <c r="S44" s="5"/>
      <c r="T44" s="5"/>
      <c r="U44" s="5"/>
      <c r="V44" s="5"/>
      <c r="W44" s="5">
        <v>0</v>
      </c>
      <c r="X44" s="5">
        <v>1</v>
      </c>
      <c r="Y44" s="5">
        <v>0</v>
      </c>
      <c r="Z44" s="5">
        <v>0</v>
      </c>
      <c r="AA44" s="5">
        <v>1</v>
      </c>
      <c r="AB44" s="5">
        <v>0</v>
      </c>
      <c r="IF44">
        <v>-1</v>
      </c>
    </row>
    <row r="45" spans="1:240" x14ac:dyDescent="0.2">
      <c r="A45" s="5">
        <v>50</v>
      </c>
      <c r="B45" s="5">
        <v>0</v>
      </c>
      <c r="C45" s="5">
        <v>0</v>
      </c>
      <c r="D45" s="5">
        <v>1</v>
      </c>
      <c r="E45" s="5">
        <v>229</v>
      </c>
      <c r="F45" s="5">
        <f>ROUND(Source!AZ34,O45)</f>
        <v>0</v>
      </c>
      <c r="G45" s="5" t="s">
        <v>64</v>
      </c>
      <c r="H45" s="5" t="s">
        <v>65</v>
      </c>
      <c r="I45" s="5"/>
      <c r="J45" s="5"/>
      <c r="K45" s="5">
        <v>229</v>
      </c>
      <c r="L45" s="5">
        <v>10</v>
      </c>
      <c r="M45" s="5">
        <v>3</v>
      </c>
      <c r="N45" s="5" t="s">
        <v>6</v>
      </c>
      <c r="O45" s="5">
        <v>0</v>
      </c>
      <c r="P45" s="5">
        <f>ROUND(Source!ER34,O45)</f>
        <v>0</v>
      </c>
      <c r="Q45" s="5"/>
      <c r="R45" s="5"/>
      <c r="S45" s="5"/>
      <c r="T45" s="5"/>
      <c r="U45" s="5"/>
      <c r="V45" s="5"/>
      <c r="W45" s="5">
        <v>0</v>
      </c>
      <c r="X45" s="5">
        <v>1</v>
      </c>
      <c r="Y45" s="5">
        <v>0</v>
      </c>
      <c r="Z45" s="5">
        <v>0</v>
      </c>
      <c r="AA45" s="5">
        <v>1</v>
      </c>
      <c r="AB45" s="5">
        <v>0</v>
      </c>
      <c r="IF45">
        <v>-1</v>
      </c>
    </row>
    <row r="46" spans="1:240" x14ac:dyDescent="0.2">
      <c r="A46" s="5">
        <v>50</v>
      </c>
      <c r="B46" s="5">
        <v>0</v>
      </c>
      <c r="C46" s="5">
        <v>0</v>
      </c>
      <c r="D46" s="5">
        <v>1</v>
      </c>
      <c r="E46" s="5">
        <v>203</v>
      </c>
      <c r="F46" s="5">
        <f>ROUND(Source!Q34,O46)</f>
        <v>27701</v>
      </c>
      <c r="G46" s="5" t="s">
        <v>66</v>
      </c>
      <c r="H46" s="5" t="s">
        <v>67</v>
      </c>
      <c r="I46" s="5"/>
      <c r="J46" s="5"/>
      <c r="K46" s="5">
        <v>203</v>
      </c>
      <c r="L46" s="5">
        <v>11</v>
      </c>
      <c r="M46" s="5">
        <v>3</v>
      </c>
      <c r="N46" s="5" t="s">
        <v>6</v>
      </c>
      <c r="O46" s="5">
        <v>0</v>
      </c>
      <c r="P46" s="5">
        <f>ROUND(Source!DI34,O46)</f>
        <v>189207</v>
      </c>
      <c r="Q46" s="5"/>
      <c r="R46" s="5"/>
      <c r="S46" s="5"/>
      <c r="T46" s="5"/>
      <c r="U46" s="5"/>
      <c r="V46" s="5"/>
      <c r="W46" s="5">
        <v>27701</v>
      </c>
      <c r="X46" s="5">
        <v>1</v>
      </c>
      <c r="Y46" s="5">
        <v>27701</v>
      </c>
      <c r="Z46" s="5">
        <v>189207</v>
      </c>
      <c r="AA46" s="5">
        <v>1</v>
      </c>
      <c r="AB46" s="5">
        <v>189207</v>
      </c>
      <c r="IF46">
        <v>-1</v>
      </c>
    </row>
    <row r="47" spans="1:240" x14ac:dyDescent="0.2">
      <c r="A47" s="5">
        <v>50</v>
      </c>
      <c r="B47" s="5">
        <v>0</v>
      </c>
      <c r="C47" s="5">
        <v>0</v>
      </c>
      <c r="D47" s="5">
        <v>1</v>
      </c>
      <c r="E47" s="5">
        <v>231</v>
      </c>
      <c r="F47" s="5">
        <f>ROUND(Source!BB34,O47)</f>
        <v>0</v>
      </c>
      <c r="G47" s="5" t="s">
        <v>68</v>
      </c>
      <c r="H47" s="5" t="s">
        <v>69</v>
      </c>
      <c r="I47" s="5"/>
      <c r="J47" s="5"/>
      <c r="K47" s="5">
        <v>231</v>
      </c>
      <c r="L47" s="5">
        <v>12</v>
      </c>
      <c r="M47" s="5">
        <v>3</v>
      </c>
      <c r="N47" s="5" t="s">
        <v>6</v>
      </c>
      <c r="O47" s="5">
        <v>0</v>
      </c>
      <c r="P47" s="5">
        <f>ROUND(Source!ET34,O47)</f>
        <v>0</v>
      </c>
      <c r="Q47" s="5"/>
      <c r="R47" s="5"/>
      <c r="S47" s="5"/>
      <c r="T47" s="5"/>
      <c r="U47" s="5"/>
      <c r="V47" s="5"/>
      <c r="W47" s="5">
        <v>0</v>
      </c>
      <c r="X47" s="5">
        <v>1</v>
      </c>
      <c r="Y47" s="5">
        <v>0</v>
      </c>
      <c r="Z47" s="5">
        <v>0</v>
      </c>
      <c r="AA47" s="5">
        <v>1</v>
      </c>
      <c r="AB47" s="5">
        <v>0</v>
      </c>
      <c r="IF47">
        <v>-1</v>
      </c>
    </row>
    <row r="48" spans="1:240" x14ac:dyDescent="0.2">
      <c r="A48" s="5">
        <v>50</v>
      </c>
      <c r="B48" s="5">
        <v>0</v>
      </c>
      <c r="C48" s="5">
        <v>0</v>
      </c>
      <c r="D48" s="5">
        <v>1</v>
      </c>
      <c r="E48" s="5">
        <v>204</v>
      </c>
      <c r="F48" s="5">
        <f>ROUND(Source!R34,O48)</f>
        <v>1304</v>
      </c>
      <c r="G48" s="5" t="s">
        <v>70</v>
      </c>
      <c r="H48" s="5" t="s">
        <v>71</v>
      </c>
      <c r="I48" s="5"/>
      <c r="J48" s="5"/>
      <c r="K48" s="5">
        <v>204</v>
      </c>
      <c r="L48" s="5">
        <v>13</v>
      </c>
      <c r="M48" s="5">
        <v>3</v>
      </c>
      <c r="N48" s="5" t="s">
        <v>6</v>
      </c>
      <c r="O48" s="5">
        <v>0</v>
      </c>
      <c r="P48" s="5">
        <f>ROUND(Source!DJ34,O48)</f>
        <v>23899</v>
      </c>
      <c r="Q48" s="5"/>
      <c r="R48" s="5"/>
      <c r="S48" s="5"/>
      <c r="T48" s="5"/>
      <c r="U48" s="5"/>
      <c r="V48" s="5"/>
      <c r="W48" s="5">
        <v>1304</v>
      </c>
      <c r="X48" s="5">
        <v>1</v>
      </c>
      <c r="Y48" s="5">
        <v>1304</v>
      </c>
      <c r="Z48" s="5">
        <v>23899</v>
      </c>
      <c r="AA48" s="5">
        <v>1</v>
      </c>
      <c r="AB48" s="5">
        <v>23899</v>
      </c>
      <c r="IF48">
        <v>-1</v>
      </c>
    </row>
    <row r="49" spans="1:240" x14ac:dyDescent="0.2">
      <c r="A49" s="5">
        <v>50</v>
      </c>
      <c r="B49" s="5">
        <v>0</v>
      </c>
      <c r="C49" s="5">
        <v>0</v>
      </c>
      <c r="D49" s="5">
        <v>1</v>
      </c>
      <c r="E49" s="5">
        <v>205</v>
      </c>
      <c r="F49" s="5">
        <f>ROUND(Source!S34,O49)</f>
        <v>2189</v>
      </c>
      <c r="G49" s="5" t="s">
        <v>72</v>
      </c>
      <c r="H49" s="5" t="s">
        <v>73</v>
      </c>
      <c r="I49" s="5"/>
      <c r="J49" s="5"/>
      <c r="K49" s="5">
        <v>205</v>
      </c>
      <c r="L49" s="5">
        <v>14</v>
      </c>
      <c r="M49" s="5">
        <v>3</v>
      </c>
      <c r="N49" s="5" t="s">
        <v>6</v>
      </c>
      <c r="O49" s="5">
        <v>0</v>
      </c>
      <c r="P49" s="5">
        <f>ROUND(Source!DK34,O49)</f>
        <v>55455</v>
      </c>
      <c r="Q49" s="5"/>
      <c r="R49" s="5"/>
      <c r="S49" s="5"/>
      <c r="T49" s="5"/>
      <c r="U49" s="5"/>
      <c r="V49" s="5"/>
      <c r="W49" s="5">
        <v>2189</v>
      </c>
      <c r="X49" s="5">
        <v>1</v>
      </c>
      <c r="Y49" s="5">
        <v>2189</v>
      </c>
      <c r="Z49" s="5">
        <v>55455</v>
      </c>
      <c r="AA49" s="5">
        <v>1</v>
      </c>
      <c r="AB49" s="5">
        <v>55455</v>
      </c>
      <c r="IF49">
        <v>-1</v>
      </c>
    </row>
    <row r="50" spans="1:240" x14ac:dyDescent="0.2">
      <c r="A50" s="5">
        <v>50</v>
      </c>
      <c r="B50" s="5">
        <v>0</v>
      </c>
      <c r="C50" s="5">
        <v>0</v>
      </c>
      <c r="D50" s="5">
        <v>1</v>
      </c>
      <c r="E50" s="5">
        <v>232</v>
      </c>
      <c r="F50" s="5">
        <f>ROUND(Source!BC34,O50)</f>
        <v>0</v>
      </c>
      <c r="G50" s="5" t="s">
        <v>74</v>
      </c>
      <c r="H50" s="5" t="s">
        <v>75</v>
      </c>
      <c r="I50" s="5"/>
      <c r="J50" s="5"/>
      <c r="K50" s="5">
        <v>232</v>
      </c>
      <c r="L50" s="5">
        <v>15</v>
      </c>
      <c r="M50" s="5">
        <v>3</v>
      </c>
      <c r="N50" s="5" t="s">
        <v>6</v>
      </c>
      <c r="O50" s="5">
        <v>0</v>
      </c>
      <c r="P50" s="5">
        <f>ROUND(Source!EU34,O50)</f>
        <v>0</v>
      </c>
      <c r="Q50" s="5"/>
      <c r="R50" s="5"/>
      <c r="S50" s="5"/>
      <c r="T50" s="5"/>
      <c r="U50" s="5"/>
      <c r="V50" s="5"/>
      <c r="W50" s="5">
        <v>0</v>
      </c>
      <c r="X50" s="5">
        <v>1</v>
      </c>
      <c r="Y50" s="5">
        <v>0</v>
      </c>
      <c r="Z50" s="5">
        <v>0</v>
      </c>
      <c r="AA50" s="5">
        <v>1</v>
      </c>
      <c r="AB50" s="5">
        <v>0</v>
      </c>
      <c r="IF50">
        <v>-1</v>
      </c>
    </row>
    <row r="51" spans="1:240" x14ac:dyDescent="0.2">
      <c r="A51" s="5">
        <v>50</v>
      </c>
      <c r="B51" s="5">
        <v>0</v>
      </c>
      <c r="C51" s="5">
        <v>0</v>
      </c>
      <c r="D51" s="5">
        <v>1</v>
      </c>
      <c r="E51" s="5">
        <v>214</v>
      </c>
      <c r="F51" s="5">
        <f>ROUND(Source!AS34,O51)</f>
        <v>34537</v>
      </c>
      <c r="G51" s="5" t="s">
        <v>76</v>
      </c>
      <c r="H51" s="5" t="s">
        <v>77</v>
      </c>
      <c r="I51" s="5"/>
      <c r="J51" s="5"/>
      <c r="K51" s="5">
        <v>214</v>
      </c>
      <c r="L51" s="5">
        <v>16</v>
      </c>
      <c r="M51" s="5">
        <v>3</v>
      </c>
      <c r="N51" s="5" t="s">
        <v>6</v>
      </c>
      <c r="O51" s="5">
        <v>0</v>
      </c>
      <c r="P51" s="5">
        <f>ROUND(Source!EK34,O51)</f>
        <v>340109</v>
      </c>
      <c r="Q51" s="5"/>
      <c r="R51" s="5"/>
      <c r="S51" s="5"/>
      <c r="T51" s="5"/>
      <c r="U51" s="5"/>
      <c r="V51" s="5"/>
      <c r="W51" s="5">
        <v>34537</v>
      </c>
      <c r="X51" s="5">
        <v>1</v>
      </c>
      <c r="Y51" s="5">
        <v>34537</v>
      </c>
      <c r="Z51" s="5">
        <v>340109</v>
      </c>
      <c r="AA51" s="5">
        <v>1</v>
      </c>
      <c r="AB51" s="5">
        <v>340109</v>
      </c>
      <c r="IF51">
        <v>-1</v>
      </c>
    </row>
    <row r="52" spans="1:240" x14ac:dyDescent="0.2">
      <c r="A52" s="5">
        <v>50</v>
      </c>
      <c r="B52" s="5">
        <v>0</v>
      </c>
      <c r="C52" s="5">
        <v>0</v>
      </c>
      <c r="D52" s="5">
        <v>1</v>
      </c>
      <c r="E52" s="5">
        <v>215</v>
      </c>
      <c r="F52" s="5">
        <f>ROUND(Source!AT34,O52)</f>
        <v>0</v>
      </c>
      <c r="G52" s="5" t="s">
        <v>78</v>
      </c>
      <c r="H52" s="5" t="s">
        <v>79</v>
      </c>
      <c r="I52" s="5"/>
      <c r="J52" s="5"/>
      <c r="K52" s="5">
        <v>215</v>
      </c>
      <c r="L52" s="5">
        <v>17</v>
      </c>
      <c r="M52" s="5">
        <v>3</v>
      </c>
      <c r="N52" s="5" t="s">
        <v>6</v>
      </c>
      <c r="O52" s="5">
        <v>0</v>
      </c>
      <c r="P52" s="5">
        <f>ROUND(Source!EL34,O52)</f>
        <v>0</v>
      </c>
      <c r="Q52" s="5"/>
      <c r="R52" s="5"/>
      <c r="S52" s="5"/>
      <c r="T52" s="5"/>
      <c r="U52" s="5"/>
      <c r="V52" s="5"/>
      <c r="W52" s="5">
        <v>0</v>
      </c>
      <c r="X52" s="5">
        <v>1</v>
      </c>
      <c r="Y52" s="5">
        <v>0</v>
      </c>
      <c r="Z52" s="5">
        <v>0</v>
      </c>
      <c r="AA52" s="5">
        <v>1</v>
      </c>
      <c r="AB52" s="5">
        <v>0</v>
      </c>
      <c r="IF52">
        <v>-1</v>
      </c>
    </row>
    <row r="53" spans="1:240" x14ac:dyDescent="0.2">
      <c r="A53" s="5">
        <v>50</v>
      </c>
      <c r="B53" s="5">
        <v>0</v>
      </c>
      <c r="C53" s="5">
        <v>0</v>
      </c>
      <c r="D53" s="5">
        <v>1</v>
      </c>
      <c r="E53" s="5">
        <v>217</v>
      </c>
      <c r="F53" s="5">
        <f>ROUND(Source!AU34,O53)</f>
        <v>0</v>
      </c>
      <c r="G53" s="5" t="s">
        <v>80</v>
      </c>
      <c r="H53" s="5" t="s">
        <v>81</v>
      </c>
      <c r="I53" s="5"/>
      <c r="J53" s="5"/>
      <c r="K53" s="5">
        <v>217</v>
      </c>
      <c r="L53" s="5">
        <v>18</v>
      </c>
      <c r="M53" s="5">
        <v>3</v>
      </c>
      <c r="N53" s="5" t="s">
        <v>6</v>
      </c>
      <c r="O53" s="5">
        <v>0</v>
      </c>
      <c r="P53" s="5">
        <f>ROUND(Source!EM34,O53)</f>
        <v>0</v>
      </c>
      <c r="Q53" s="5"/>
      <c r="R53" s="5"/>
      <c r="S53" s="5"/>
      <c r="T53" s="5"/>
      <c r="U53" s="5"/>
      <c r="V53" s="5"/>
      <c r="W53" s="5">
        <v>0</v>
      </c>
      <c r="X53" s="5">
        <v>1</v>
      </c>
      <c r="Y53" s="5">
        <v>0</v>
      </c>
      <c r="Z53" s="5">
        <v>0</v>
      </c>
      <c r="AA53" s="5">
        <v>1</v>
      </c>
      <c r="AB53" s="5">
        <v>0</v>
      </c>
      <c r="IF53">
        <v>-1</v>
      </c>
    </row>
    <row r="54" spans="1:240" x14ac:dyDescent="0.2">
      <c r="A54" s="5">
        <v>50</v>
      </c>
      <c r="B54" s="5">
        <v>0</v>
      </c>
      <c r="C54" s="5">
        <v>0</v>
      </c>
      <c r="D54" s="5">
        <v>1</v>
      </c>
      <c r="E54" s="5">
        <v>230</v>
      </c>
      <c r="F54" s="5">
        <f>ROUND(Source!BA34,O54)</f>
        <v>0</v>
      </c>
      <c r="G54" s="5" t="s">
        <v>82</v>
      </c>
      <c r="H54" s="5" t="s">
        <v>83</v>
      </c>
      <c r="I54" s="5"/>
      <c r="J54" s="5"/>
      <c r="K54" s="5">
        <v>230</v>
      </c>
      <c r="L54" s="5">
        <v>19</v>
      </c>
      <c r="M54" s="5">
        <v>3</v>
      </c>
      <c r="N54" s="5" t="s">
        <v>6</v>
      </c>
      <c r="O54" s="5">
        <v>0</v>
      </c>
      <c r="P54" s="5">
        <f>ROUND(Source!ES34,O54)</f>
        <v>0</v>
      </c>
      <c r="Q54" s="5"/>
      <c r="R54" s="5"/>
      <c r="S54" s="5"/>
      <c r="T54" s="5"/>
      <c r="U54" s="5"/>
      <c r="V54" s="5"/>
      <c r="W54" s="5">
        <v>0</v>
      </c>
      <c r="X54" s="5">
        <v>1</v>
      </c>
      <c r="Y54" s="5">
        <v>0</v>
      </c>
      <c r="Z54" s="5">
        <v>0</v>
      </c>
      <c r="AA54" s="5">
        <v>1</v>
      </c>
      <c r="AB54" s="5">
        <v>0</v>
      </c>
      <c r="IF54">
        <v>-1</v>
      </c>
    </row>
    <row r="55" spans="1:240" x14ac:dyDescent="0.2">
      <c r="A55" s="5">
        <v>50</v>
      </c>
      <c r="B55" s="5">
        <v>0</v>
      </c>
      <c r="C55" s="5">
        <v>0</v>
      </c>
      <c r="D55" s="5">
        <v>1</v>
      </c>
      <c r="E55" s="5">
        <v>206</v>
      </c>
      <c r="F55" s="5">
        <f>ROUND(Source!T34,O55)</f>
        <v>0</v>
      </c>
      <c r="G55" s="5" t="s">
        <v>84</v>
      </c>
      <c r="H55" s="5" t="s">
        <v>85</v>
      </c>
      <c r="I55" s="5"/>
      <c r="J55" s="5"/>
      <c r="K55" s="5">
        <v>206</v>
      </c>
      <c r="L55" s="5">
        <v>20</v>
      </c>
      <c r="M55" s="5">
        <v>3</v>
      </c>
      <c r="N55" s="5" t="s">
        <v>6</v>
      </c>
      <c r="O55" s="5">
        <v>0</v>
      </c>
      <c r="P55" s="5">
        <f>ROUND(Source!DL34,O55)</f>
        <v>0</v>
      </c>
      <c r="Q55" s="5"/>
      <c r="R55" s="5"/>
      <c r="S55" s="5"/>
      <c r="T55" s="5"/>
      <c r="U55" s="5"/>
      <c r="V55" s="5"/>
      <c r="W55" s="5">
        <v>0</v>
      </c>
      <c r="X55" s="5">
        <v>1</v>
      </c>
      <c r="Y55" s="5">
        <v>0</v>
      </c>
      <c r="Z55" s="5">
        <v>0</v>
      </c>
      <c r="AA55" s="5">
        <v>1</v>
      </c>
      <c r="AB55" s="5">
        <v>0</v>
      </c>
      <c r="IF55">
        <v>-1</v>
      </c>
    </row>
    <row r="56" spans="1:240" x14ac:dyDescent="0.2">
      <c r="A56" s="5">
        <v>50</v>
      </c>
      <c r="B56" s="5">
        <v>0</v>
      </c>
      <c r="C56" s="5">
        <v>0</v>
      </c>
      <c r="D56" s="5">
        <v>1</v>
      </c>
      <c r="E56" s="5">
        <v>207</v>
      </c>
      <c r="F56" s="5">
        <f>Source!U34</f>
        <v>278.18263499999995</v>
      </c>
      <c r="G56" s="5" t="s">
        <v>86</v>
      </c>
      <c r="H56" s="5" t="s">
        <v>87</v>
      </c>
      <c r="I56" s="5"/>
      <c r="J56" s="5"/>
      <c r="K56" s="5">
        <v>207</v>
      </c>
      <c r="L56" s="5">
        <v>21</v>
      </c>
      <c r="M56" s="5">
        <v>3</v>
      </c>
      <c r="N56" s="5" t="s">
        <v>6</v>
      </c>
      <c r="O56" s="5">
        <v>-1</v>
      </c>
      <c r="P56" s="5">
        <f>Source!DM34</f>
        <v>278.18263499999995</v>
      </c>
      <c r="Q56" s="5"/>
      <c r="R56" s="5"/>
      <c r="S56" s="5"/>
      <c r="T56" s="5"/>
      <c r="U56" s="5"/>
      <c r="V56" s="5"/>
      <c r="W56" s="5">
        <v>278.182635</v>
      </c>
      <c r="X56" s="5">
        <v>1</v>
      </c>
      <c r="Y56" s="5">
        <v>278.182635</v>
      </c>
      <c r="Z56" s="5">
        <v>278.182635</v>
      </c>
      <c r="AA56" s="5">
        <v>1</v>
      </c>
      <c r="AB56" s="5">
        <v>278.182635</v>
      </c>
      <c r="IF56">
        <v>-1</v>
      </c>
    </row>
    <row r="57" spans="1:240" x14ac:dyDescent="0.2">
      <c r="A57" s="5">
        <v>50</v>
      </c>
      <c r="B57" s="5">
        <v>0</v>
      </c>
      <c r="C57" s="5">
        <v>0</v>
      </c>
      <c r="D57" s="5">
        <v>1</v>
      </c>
      <c r="E57" s="5">
        <v>208</v>
      </c>
      <c r="F57" s="5">
        <f>Source!V34</f>
        <v>95.796950999999993</v>
      </c>
      <c r="G57" s="5" t="s">
        <v>88</v>
      </c>
      <c r="H57" s="5" t="s">
        <v>89</v>
      </c>
      <c r="I57" s="5"/>
      <c r="J57" s="5"/>
      <c r="K57" s="5">
        <v>208</v>
      </c>
      <c r="L57" s="5">
        <v>22</v>
      </c>
      <c r="M57" s="5">
        <v>3</v>
      </c>
      <c r="N57" s="5" t="s">
        <v>6</v>
      </c>
      <c r="O57" s="5">
        <v>-1</v>
      </c>
      <c r="P57" s="5">
        <f>Source!DN34</f>
        <v>95.796950999999993</v>
      </c>
      <c r="Q57" s="5"/>
      <c r="R57" s="5"/>
      <c r="S57" s="5"/>
      <c r="T57" s="5"/>
      <c r="U57" s="5"/>
      <c r="V57" s="5"/>
      <c r="W57" s="5">
        <v>95.796950999999993</v>
      </c>
      <c r="X57" s="5">
        <v>1</v>
      </c>
      <c r="Y57" s="5">
        <v>95.796950999999993</v>
      </c>
      <c r="Z57" s="5">
        <v>95.796950999999993</v>
      </c>
      <c r="AA57" s="5">
        <v>1</v>
      </c>
      <c r="AB57" s="5">
        <v>95.796950999999993</v>
      </c>
      <c r="IF57">
        <v>-1</v>
      </c>
    </row>
    <row r="58" spans="1:240" x14ac:dyDescent="0.2">
      <c r="A58" s="5">
        <v>50</v>
      </c>
      <c r="B58" s="5">
        <v>0</v>
      </c>
      <c r="C58" s="5">
        <v>0</v>
      </c>
      <c r="D58" s="5">
        <v>1</v>
      </c>
      <c r="E58" s="5">
        <v>209</v>
      </c>
      <c r="F58" s="5">
        <f>ROUND(Source!W34,O58)</f>
        <v>0</v>
      </c>
      <c r="G58" s="5" t="s">
        <v>90</v>
      </c>
      <c r="H58" s="5" t="s">
        <v>91</v>
      </c>
      <c r="I58" s="5"/>
      <c r="J58" s="5"/>
      <c r="K58" s="5">
        <v>209</v>
      </c>
      <c r="L58" s="5">
        <v>23</v>
      </c>
      <c r="M58" s="5">
        <v>3</v>
      </c>
      <c r="N58" s="5" t="s">
        <v>6</v>
      </c>
      <c r="O58" s="5">
        <v>0</v>
      </c>
      <c r="P58" s="5">
        <f>ROUND(Source!DO34,O58)</f>
        <v>0</v>
      </c>
      <c r="Q58" s="5"/>
      <c r="R58" s="5"/>
      <c r="S58" s="5"/>
      <c r="T58" s="5"/>
      <c r="U58" s="5"/>
      <c r="V58" s="5"/>
      <c r="W58" s="5">
        <v>0</v>
      </c>
      <c r="X58" s="5">
        <v>1</v>
      </c>
      <c r="Y58" s="5">
        <v>0</v>
      </c>
      <c r="Z58" s="5">
        <v>0</v>
      </c>
      <c r="AA58" s="5">
        <v>1</v>
      </c>
      <c r="AB58" s="5">
        <v>0</v>
      </c>
      <c r="IF58">
        <v>-1</v>
      </c>
    </row>
    <row r="59" spans="1:240" x14ac:dyDescent="0.2">
      <c r="A59" s="5">
        <v>50</v>
      </c>
      <c r="B59" s="5">
        <v>0</v>
      </c>
      <c r="C59" s="5">
        <v>0</v>
      </c>
      <c r="D59" s="5">
        <v>1</v>
      </c>
      <c r="E59" s="5">
        <v>233</v>
      </c>
      <c r="F59" s="5">
        <f>ROUND(Source!BD34,O59)</f>
        <v>16406</v>
      </c>
      <c r="G59" s="5" t="s">
        <v>92</v>
      </c>
      <c r="H59" s="5" t="s">
        <v>93</v>
      </c>
      <c r="I59" s="5"/>
      <c r="J59" s="5"/>
      <c r="K59" s="5">
        <v>233</v>
      </c>
      <c r="L59" s="5">
        <v>24</v>
      </c>
      <c r="M59" s="5">
        <v>3</v>
      </c>
      <c r="N59" s="5" t="s">
        <v>6</v>
      </c>
      <c r="O59" s="5">
        <v>0</v>
      </c>
      <c r="P59" s="5">
        <f>ROUND(Source!EV34,O59)</f>
        <v>116807</v>
      </c>
      <c r="Q59" s="5"/>
      <c r="R59" s="5"/>
      <c r="S59" s="5"/>
      <c r="T59" s="5"/>
      <c r="U59" s="5"/>
      <c r="V59" s="5"/>
      <c r="W59" s="5">
        <v>16406</v>
      </c>
      <c r="X59" s="5">
        <v>1</v>
      </c>
      <c r="Y59" s="5">
        <v>16406</v>
      </c>
      <c r="Z59" s="5">
        <v>116807</v>
      </c>
      <c r="AA59" s="5">
        <v>1</v>
      </c>
      <c r="AB59" s="5">
        <v>116807</v>
      </c>
      <c r="IF59">
        <v>-1</v>
      </c>
    </row>
    <row r="60" spans="1:240" x14ac:dyDescent="0.2">
      <c r="A60" s="5">
        <v>50</v>
      </c>
      <c r="B60" s="5">
        <v>0</v>
      </c>
      <c r="C60" s="5">
        <v>0</v>
      </c>
      <c r="D60" s="5">
        <v>1</v>
      </c>
      <c r="E60" s="5">
        <v>210</v>
      </c>
      <c r="F60" s="5">
        <f>ROUND(Source!X34,O60)</f>
        <v>3004</v>
      </c>
      <c r="G60" s="5" t="s">
        <v>94</v>
      </c>
      <c r="H60" s="5" t="s">
        <v>95</v>
      </c>
      <c r="I60" s="5"/>
      <c r="J60" s="5"/>
      <c r="K60" s="5">
        <v>210</v>
      </c>
      <c r="L60" s="5">
        <v>25</v>
      </c>
      <c r="M60" s="5">
        <v>3</v>
      </c>
      <c r="N60" s="5" t="s">
        <v>6</v>
      </c>
      <c r="O60" s="5">
        <v>0</v>
      </c>
      <c r="P60" s="5">
        <f>ROUND(Source!DP34,O60)</f>
        <v>63981</v>
      </c>
      <c r="Q60" s="5"/>
      <c r="R60" s="5"/>
      <c r="S60" s="5"/>
      <c r="T60" s="5"/>
      <c r="U60" s="5"/>
      <c r="V60" s="5"/>
      <c r="W60" s="5">
        <v>3004</v>
      </c>
      <c r="X60" s="5">
        <v>1</v>
      </c>
      <c r="Y60" s="5">
        <v>3004</v>
      </c>
      <c r="Z60" s="5">
        <v>63981</v>
      </c>
      <c r="AA60" s="5">
        <v>1</v>
      </c>
      <c r="AB60" s="5">
        <v>63981</v>
      </c>
      <c r="IF60">
        <v>-1</v>
      </c>
    </row>
    <row r="61" spans="1:240" x14ac:dyDescent="0.2">
      <c r="A61" s="5">
        <v>50</v>
      </c>
      <c r="B61" s="5">
        <v>0</v>
      </c>
      <c r="C61" s="5">
        <v>0</v>
      </c>
      <c r="D61" s="5">
        <v>1</v>
      </c>
      <c r="E61" s="5">
        <v>211</v>
      </c>
      <c r="F61" s="5">
        <f>ROUND(Source!Y34,O61)</f>
        <v>1643</v>
      </c>
      <c r="G61" s="5" t="s">
        <v>96</v>
      </c>
      <c r="H61" s="5" t="s">
        <v>97</v>
      </c>
      <c r="I61" s="5"/>
      <c r="J61" s="5"/>
      <c r="K61" s="5">
        <v>211</v>
      </c>
      <c r="L61" s="5">
        <v>26</v>
      </c>
      <c r="M61" s="5">
        <v>3</v>
      </c>
      <c r="N61" s="5" t="s">
        <v>6</v>
      </c>
      <c r="O61" s="5">
        <v>0</v>
      </c>
      <c r="P61" s="5">
        <f>ROUND(Source!DQ34,O61)</f>
        <v>31466</v>
      </c>
      <c r="Q61" s="5"/>
      <c r="R61" s="5"/>
      <c r="S61" s="5"/>
      <c r="T61" s="5"/>
      <c r="U61" s="5"/>
      <c r="V61" s="5"/>
      <c r="W61" s="5">
        <v>1643</v>
      </c>
      <c r="X61" s="5">
        <v>1</v>
      </c>
      <c r="Y61" s="5">
        <v>1643</v>
      </c>
      <c r="Z61" s="5">
        <v>31466</v>
      </c>
      <c r="AA61" s="5">
        <v>1</v>
      </c>
      <c r="AB61" s="5">
        <v>31466</v>
      </c>
      <c r="IF61">
        <v>-1</v>
      </c>
    </row>
    <row r="62" spans="1:240" x14ac:dyDescent="0.2">
      <c r="A62" s="5">
        <v>50</v>
      </c>
      <c r="B62" s="5">
        <v>0</v>
      </c>
      <c r="C62" s="5">
        <v>0</v>
      </c>
      <c r="D62" s="5">
        <v>1</v>
      </c>
      <c r="E62" s="5">
        <v>224</v>
      </c>
      <c r="F62" s="5">
        <f>ROUND(Source!AR34,O62)</f>
        <v>34537</v>
      </c>
      <c r="G62" s="5" t="s">
        <v>98</v>
      </c>
      <c r="H62" s="5" t="s">
        <v>99</v>
      </c>
      <c r="I62" s="5"/>
      <c r="J62" s="5"/>
      <c r="K62" s="5">
        <v>224</v>
      </c>
      <c r="L62" s="5">
        <v>27</v>
      </c>
      <c r="M62" s="5">
        <v>3</v>
      </c>
      <c r="N62" s="5" t="s">
        <v>6</v>
      </c>
      <c r="O62" s="5">
        <v>0</v>
      </c>
      <c r="P62" s="5">
        <f>ROUND(Source!EJ34,O62)</f>
        <v>340109</v>
      </c>
      <c r="Q62" s="5"/>
      <c r="R62" s="5"/>
      <c r="S62" s="5"/>
      <c r="T62" s="5"/>
      <c r="U62" s="5"/>
      <c r="V62" s="5"/>
      <c r="W62" s="5">
        <v>34537</v>
      </c>
      <c r="X62" s="5">
        <v>1</v>
      </c>
      <c r="Y62" s="5">
        <v>34537</v>
      </c>
      <c r="Z62" s="5">
        <v>340109</v>
      </c>
      <c r="AA62" s="5">
        <v>1</v>
      </c>
      <c r="AB62" s="5">
        <v>340109</v>
      </c>
      <c r="IF62">
        <v>-1</v>
      </c>
    </row>
    <row r="63" spans="1:240" x14ac:dyDescent="0.2">
      <c r="IF63">
        <v>-1</v>
      </c>
    </row>
    <row r="64" spans="1:240" x14ac:dyDescent="0.2">
      <c r="A64" s="3">
        <v>51</v>
      </c>
      <c r="B64" s="3">
        <f>B12</f>
        <v>128</v>
      </c>
      <c r="C64" s="3">
        <f>A12</f>
        <v>1</v>
      </c>
      <c r="D64" s="3">
        <f>ROW(A12)</f>
        <v>12</v>
      </c>
      <c r="E64" s="3"/>
      <c r="F64" s="3" t="str">
        <f>IF(F12&lt;&gt;"",F12,"")</f>
        <v>5.1.1.1 Устройство котлована</v>
      </c>
      <c r="G64" s="3" t="str">
        <f>IF(G12&lt;&gt;"",G12,"")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64" s="3">
        <v>0</v>
      </c>
      <c r="I64" s="3"/>
      <c r="J64" s="3"/>
      <c r="K64" s="3"/>
      <c r="L64" s="3"/>
      <c r="M64" s="3"/>
      <c r="N64" s="3"/>
      <c r="O64" s="3">
        <f t="shared" ref="O64:T64" si="47">ROUND(O34,0)</f>
        <v>29890</v>
      </c>
      <c r="P64" s="3">
        <f t="shared" si="47"/>
        <v>0</v>
      </c>
      <c r="Q64" s="3">
        <f t="shared" si="47"/>
        <v>27701</v>
      </c>
      <c r="R64" s="3">
        <f t="shared" si="47"/>
        <v>1304</v>
      </c>
      <c r="S64" s="3">
        <f t="shared" si="47"/>
        <v>2189</v>
      </c>
      <c r="T64" s="3">
        <f t="shared" si="47"/>
        <v>0</v>
      </c>
      <c r="U64" s="3">
        <f>U34</f>
        <v>278.18263499999995</v>
      </c>
      <c r="V64" s="3">
        <f>V34</f>
        <v>95.796950999999993</v>
      </c>
      <c r="W64" s="3">
        <f>ROUND(W34,0)</f>
        <v>0</v>
      </c>
      <c r="X64" s="3">
        <f>ROUND(X34,0)</f>
        <v>3004</v>
      </c>
      <c r="Y64" s="3">
        <f>ROUND(Y34,0)</f>
        <v>1643</v>
      </c>
      <c r="Z64" s="3"/>
      <c r="AA64" s="3"/>
      <c r="AB64" s="3"/>
      <c r="AC64" s="3"/>
      <c r="AD64" s="3"/>
      <c r="AE64" s="3"/>
      <c r="AF64" s="3"/>
      <c r="AG64" s="3"/>
      <c r="AH64" s="3"/>
      <c r="AI64" s="3"/>
      <c r="AJ64" s="3"/>
      <c r="AK64" s="3"/>
      <c r="AL64" s="3"/>
      <c r="AM64" s="3"/>
      <c r="AN64" s="3"/>
      <c r="AO64" s="3">
        <f t="shared" ref="AO64:BD64" si="48">ROUND(AO34,0)</f>
        <v>0</v>
      </c>
      <c r="AP64" s="3">
        <f t="shared" si="48"/>
        <v>0</v>
      </c>
      <c r="AQ64" s="3">
        <f t="shared" si="48"/>
        <v>0</v>
      </c>
      <c r="AR64" s="3">
        <f t="shared" si="48"/>
        <v>34537</v>
      </c>
      <c r="AS64" s="3">
        <f t="shared" si="48"/>
        <v>34537</v>
      </c>
      <c r="AT64" s="3">
        <f t="shared" si="48"/>
        <v>0</v>
      </c>
      <c r="AU64" s="3">
        <f t="shared" si="48"/>
        <v>0</v>
      </c>
      <c r="AV64" s="3">
        <f t="shared" si="48"/>
        <v>0</v>
      </c>
      <c r="AW64" s="3">
        <f t="shared" si="48"/>
        <v>0</v>
      </c>
      <c r="AX64" s="3">
        <f t="shared" si="48"/>
        <v>0</v>
      </c>
      <c r="AY64" s="3">
        <f t="shared" si="48"/>
        <v>0</v>
      </c>
      <c r="AZ64" s="3">
        <f t="shared" si="48"/>
        <v>0</v>
      </c>
      <c r="BA64" s="3">
        <f t="shared" si="48"/>
        <v>0</v>
      </c>
      <c r="BB64" s="3">
        <f t="shared" si="48"/>
        <v>0</v>
      </c>
      <c r="BC64" s="3">
        <f t="shared" si="48"/>
        <v>0</v>
      </c>
      <c r="BD64" s="3">
        <f t="shared" si="48"/>
        <v>16406</v>
      </c>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4">
        <f t="shared" ref="DG64:DL64" si="49">ROUND(DG34,0)</f>
        <v>244662</v>
      </c>
      <c r="DH64" s="4">
        <f t="shared" si="49"/>
        <v>0</v>
      </c>
      <c r="DI64" s="4">
        <f t="shared" si="49"/>
        <v>189207</v>
      </c>
      <c r="DJ64" s="4">
        <f t="shared" si="49"/>
        <v>23899</v>
      </c>
      <c r="DK64" s="4">
        <f t="shared" si="49"/>
        <v>55455</v>
      </c>
      <c r="DL64" s="4">
        <f t="shared" si="49"/>
        <v>0</v>
      </c>
      <c r="DM64" s="4">
        <f>DM34</f>
        <v>278.18263499999995</v>
      </c>
      <c r="DN64" s="4">
        <f>DN34</f>
        <v>95.796950999999993</v>
      </c>
      <c r="DO64" s="4">
        <f>ROUND(DO34,0)</f>
        <v>0</v>
      </c>
      <c r="DP64" s="4">
        <f>ROUND(DP34,0)</f>
        <v>63981</v>
      </c>
      <c r="DQ64" s="4">
        <f>ROUND(DQ34,0)</f>
        <v>31466</v>
      </c>
      <c r="DR64" s="4"/>
      <c r="DS64" s="4"/>
      <c r="DT64" s="4"/>
      <c r="DU64" s="4"/>
      <c r="DV64" s="4"/>
      <c r="DW64" s="4"/>
      <c r="DX64" s="4"/>
      <c r="DY64" s="4"/>
      <c r="DZ64" s="4"/>
      <c r="EA64" s="4"/>
      <c r="EB64" s="4"/>
      <c r="EC64" s="4"/>
      <c r="ED64" s="4"/>
      <c r="EE64" s="4"/>
      <c r="EF64" s="4"/>
      <c r="EG64" s="4">
        <f t="shared" ref="EG64:EV64" si="50">ROUND(EG34,0)</f>
        <v>0</v>
      </c>
      <c r="EH64" s="4">
        <f t="shared" si="50"/>
        <v>0</v>
      </c>
      <c r="EI64" s="4">
        <f t="shared" si="50"/>
        <v>0</v>
      </c>
      <c r="EJ64" s="4">
        <f t="shared" si="50"/>
        <v>340109</v>
      </c>
      <c r="EK64" s="4">
        <f t="shared" si="50"/>
        <v>340109</v>
      </c>
      <c r="EL64" s="4">
        <f t="shared" si="50"/>
        <v>0</v>
      </c>
      <c r="EM64" s="4">
        <f t="shared" si="50"/>
        <v>0</v>
      </c>
      <c r="EN64" s="4">
        <f t="shared" si="50"/>
        <v>0</v>
      </c>
      <c r="EO64" s="4">
        <f t="shared" si="50"/>
        <v>0</v>
      </c>
      <c r="EP64" s="4">
        <f t="shared" si="50"/>
        <v>0</v>
      </c>
      <c r="EQ64" s="4">
        <f t="shared" si="50"/>
        <v>0</v>
      </c>
      <c r="ER64" s="4">
        <f t="shared" si="50"/>
        <v>0</v>
      </c>
      <c r="ES64" s="4">
        <f t="shared" si="50"/>
        <v>0</v>
      </c>
      <c r="ET64" s="4">
        <f t="shared" si="50"/>
        <v>0</v>
      </c>
      <c r="EU64" s="4">
        <f t="shared" si="50"/>
        <v>0</v>
      </c>
      <c r="EV64" s="4">
        <f t="shared" si="50"/>
        <v>116807</v>
      </c>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v>0</v>
      </c>
      <c r="IF64">
        <v>-1</v>
      </c>
    </row>
    <row r="65" spans="1:240" x14ac:dyDescent="0.2">
      <c r="IF65">
        <v>-1</v>
      </c>
    </row>
    <row r="66" spans="1:240" x14ac:dyDescent="0.2">
      <c r="A66" s="5">
        <v>50</v>
      </c>
      <c r="B66" s="5">
        <v>0</v>
      </c>
      <c r="C66" s="5">
        <v>0</v>
      </c>
      <c r="D66" s="5">
        <v>1</v>
      </c>
      <c r="E66" s="5">
        <v>201</v>
      </c>
      <c r="F66" s="5">
        <f>ROUND(Source!O64,O66)</f>
        <v>29890</v>
      </c>
      <c r="G66" s="5" t="s">
        <v>46</v>
      </c>
      <c r="H66" s="5" t="s">
        <v>47</v>
      </c>
      <c r="I66" s="5"/>
      <c r="J66" s="5"/>
      <c r="K66" s="5">
        <v>201</v>
      </c>
      <c r="L66" s="5">
        <v>1</v>
      </c>
      <c r="M66" s="5">
        <v>3</v>
      </c>
      <c r="N66" s="5" t="s">
        <v>6</v>
      </c>
      <c r="O66" s="5">
        <v>0</v>
      </c>
      <c r="P66" s="5">
        <f>ROUND(Source!DG64,O66)</f>
        <v>244662</v>
      </c>
      <c r="Q66" s="5"/>
      <c r="R66" s="5"/>
      <c r="S66" s="5"/>
      <c r="T66" s="5"/>
      <c r="U66" s="5"/>
      <c r="V66" s="5"/>
      <c r="W66" s="5">
        <v>29890</v>
      </c>
      <c r="X66" s="5">
        <v>1</v>
      </c>
      <c r="Y66" s="5">
        <v>29890</v>
      </c>
      <c r="Z66" s="5">
        <v>244662</v>
      </c>
      <c r="AA66" s="5">
        <v>1</v>
      </c>
      <c r="AB66" s="5">
        <v>244662</v>
      </c>
      <c r="IF66">
        <v>-1</v>
      </c>
    </row>
    <row r="67" spans="1:240" x14ac:dyDescent="0.2">
      <c r="A67" s="5">
        <v>50</v>
      </c>
      <c r="B67" s="5">
        <v>0</v>
      </c>
      <c r="C67" s="5">
        <v>0</v>
      </c>
      <c r="D67" s="5">
        <v>1</v>
      </c>
      <c r="E67" s="5">
        <v>202</v>
      </c>
      <c r="F67" s="5">
        <f>ROUND(Source!P64,O67)</f>
        <v>0</v>
      </c>
      <c r="G67" s="5" t="s">
        <v>48</v>
      </c>
      <c r="H67" s="5" t="s">
        <v>49</v>
      </c>
      <c r="I67" s="5"/>
      <c r="J67" s="5"/>
      <c r="K67" s="5">
        <v>202</v>
      </c>
      <c r="L67" s="5">
        <v>2</v>
      </c>
      <c r="M67" s="5">
        <v>3</v>
      </c>
      <c r="N67" s="5" t="s">
        <v>6</v>
      </c>
      <c r="O67" s="5">
        <v>0</v>
      </c>
      <c r="P67" s="5">
        <f>ROUND(Source!DH64,O67)</f>
        <v>0</v>
      </c>
      <c r="Q67" s="5"/>
      <c r="R67" s="5"/>
      <c r="S67" s="5"/>
      <c r="T67" s="5"/>
      <c r="U67" s="5"/>
      <c r="V67" s="5"/>
      <c r="W67" s="5">
        <v>0</v>
      </c>
      <c r="X67" s="5">
        <v>1</v>
      </c>
      <c r="Y67" s="5">
        <v>0</v>
      </c>
      <c r="Z67" s="5">
        <v>0</v>
      </c>
      <c r="AA67" s="5">
        <v>1</v>
      </c>
      <c r="AB67" s="5">
        <v>0</v>
      </c>
      <c r="IF67">
        <v>-1</v>
      </c>
    </row>
    <row r="68" spans="1:240" x14ac:dyDescent="0.2">
      <c r="A68" s="5">
        <v>50</v>
      </c>
      <c r="B68" s="5">
        <v>0</v>
      </c>
      <c r="C68" s="5">
        <v>0</v>
      </c>
      <c r="D68" s="5">
        <v>1</v>
      </c>
      <c r="E68" s="5">
        <v>222</v>
      </c>
      <c r="F68" s="5">
        <f>ROUND(Source!AO64,O68)</f>
        <v>0</v>
      </c>
      <c r="G68" s="5" t="s">
        <v>50</v>
      </c>
      <c r="H68" s="5" t="s">
        <v>51</v>
      </c>
      <c r="I68" s="5"/>
      <c r="J68" s="5"/>
      <c r="K68" s="5">
        <v>222</v>
      </c>
      <c r="L68" s="5">
        <v>3</v>
      </c>
      <c r="M68" s="5">
        <v>3</v>
      </c>
      <c r="N68" s="5" t="s">
        <v>6</v>
      </c>
      <c r="O68" s="5">
        <v>0</v>
      </c>
      <c r="P68" s="5">
        <f>ROUND(Source!EG64,O68)</f>
        <v>0</v>
      </c>
      <c r="Q68" s="5"/>
      <c r="R68" s="5"/>
      <c r="S68" s="5"/>
      <c r="T68" s="5"/>
      <c r="U68" s="5"/>
      <c r="V68" s="5"/>
      <c r="W68" s="5">
        <v>0</v>
      </c>
      <c r="X68" s="5">
        <v>1</v>
      </c>
      <c r="Y68" s="5">
        <v>0</v>
      </c>
      <c r="Z68" s="5">
        <v>0</v>
      </c>
      <c r="AA68" s="5">
        <v>1</v>
      </c>
      <c r="AB68" s="5">
        <v>0</v>
      </c>
      <c r="IF68">
        <v>-1</v>
      </c>
    </row>
    <row r="69" spans="1:240" x14ac:dyDescent="0.2">
      <c r="A69" s="5">
        <v>50</v>
      </c>
      <c r="B69" s="5">
        <v>0</v>
      </c>
      <c r="C69" s="5">
        <v>0</v>
      </c>
      <c r="D69" s="5">
        <v>1</v>
      </c>
      <c r="E69" s="5">
        <v>225</v>
      </c>
      <c r="F69" s="5">
        <f>ROUND(Source!AV64,O69)</f>
        <v>0</v>
      </c>
      <c r="G69" s="5" t="s">
        <v>52</v>
      </c>
      <c r="H69" s="5" t="s">
        <v>53</v>
      </c>
      <c r="I69" s="5"/>
      <c r="J69" s="5"/>
      <c r="K69" s="5">
        <v>225</v>
      </c>
      <c r="L69" s="5">
        <v>4</v>
      </c>
      <c r="M69" s="5">
        <v>3</v>
      </c>
      <c r="N69" s="5" t="s">
        <v>6</v>
      </c>
      <c r="O69" s="5">
        <v>0</v>
      </c>
      <c r="P69" s="5">
        <f>ROUND(Source!EN64,O69)</f>
        <v>0</v>
      </c>
      <c r="Q69" s="5"/>
      <c r="R69" s="5"/>
      <c r="S69" s="5"/>
      <c r="T69" s="5"/>
      <c r="U69" s="5"/>
      <c r="V69" s="5"/>
      <c r="W69" s="5">
        <v>0</v>
      </c>
      <c r="X69" s="5">
        <v>1</v>
      </c>
      <c r="Y69" s="5">
        <v>0</v>
      </c>
      <c r="Z69" s="5">
        <v>0</v>
      </c>
      <c r="AA69" s="5">
        <v>1</v>
      </c>
      <c r="AB69" s="5">
        <v>0</v>
      </c>
      <c r="IF69">
        <v>-1</v>
      </c>
    </row>
    <row r="70" spans="1:240" x14ac:dyDescent="0.2">
      <c r="A70" s="5">
        <v>50</v>
      </c>
      <c r="B70" s="5">
        <v>0</v>
      </c>
      <c r="C70" s="5">
        <v>0</v>
      </c>
      <c r="D70" s="5">
        <v>1</v>
      </c>
      <c r="E70" s="5">
        <v>226</v>
      </c>
      <c r="F70" s="5">
        <f>ROUND(Source!AW64,O70)</f>
        <v>0</v>
      </c>
      <c r="G70" s="5" t="s">
        <v>54</v>
      </c>
      <c r="H70" s="5" t="s">
        <v>55</v>
      </c>
      <c r="I70" s="5"/>
      <c r="J70" s="5"/>
      <c r="K70" s="5">
        <v>226</v>
      </c>
      <c r="L70" s="5">
        <v>5</v>
      </c>
      <c r="M70" s="5">
        <v>3</v>
      </c>
      <c r="N70" s="5" t="s">
        <v>6</v>
      </c>
      <c r="O70" s="5">
        <v>0</v>
      </c>
      <c r="P70" s="5">
        <f>ROUND(Source!EO64,O70)</f>
        <v>0</v>
      </c>
      <c r="Q70" s="5"/>
      <c r="R70" s="5"/>
      <c r="S70" s="5"/>
      <c r="T70" s="5"/>
      <c r="U70" s="5"/>
      <c r="V70" s="5"/>
      <c r="W70" s="5">
        <v>0</v>
      </c>
      <c r="X70" s="5">
        <v>1</v>
      </c>
      <c r="Y70" s="5">
        <v>0</v>
      </c>
      <c r="Z70" s="5">
        <v>0</v>
      </c>
      <c r="AA70" s="5">
        <v>1</v>
      </c>
      <c r="AB70" s="5">
        <v>0</v>
      </c>
      <c r="IF70">
        <v>-1</v>
      </c>
    </row>
    <row r="71" spans="1:240" x14ac:dyDescent="0.2">
      <c r="A71" s="5">
        <v>50</v>
      </c>
      <c r="B71" s="5">
        <v>0</v>
      </c>
      <c r="C71" s="5">
        <v>0</v>
      </c>
      <c r="D71" s="5">
        <v>1</v>
      </c>
      <c r="E71" s="5">
        <v>227</v>
      </c>
      <c r="F71" s="5">
        <f>ROUND(Source!AX64,O71)</f>
        <v>0</v>
      </c>
      <c r="G71" s="5" t="s">
        <v>56</v>
      </c>
      <c r="H71" s="5" t="s">
        <v>57</v>
      </c>
      <c r="I71" s="5"/>
      <c r="J71" s="5"/>
      <c r="K71" s="5">
        <v>227</v>
      </c>
      <c r="L71" s="5">
        <v>6</v>
      </c>
      <c r="M71" s="5">
        <v>3</v>
      </c>
      <c r="N71" s="5" t="s">
        <v>6</v>
      </c>
      <c r="O71" s="5">
        <v>0</v>
      </c>
      <c r="P71" s="5">
        <f>ROUND(Source!EP64,O71)</f>
        <v>0</v>
      </c>
      <c r="Q71" s="5"/>
      <c r="R71" s="5"/>
      <c r="S71" s="5"/>
      <c r="T71" s="5"/>
      <c r="U71" s="5"/>
      <c r="V71" s="5"/>
      <c r="W71" s="5">
        <v>0</v>
      </c>
      <c r="X71" s="5">
        <v>1</v>
      </c>
      <c r="Y71" s="5">
        <v>0</v>
      </c>
      <c r="Z71" s="5">
        <v>0</v>
      </c>
      <c r="AA71" s="5">
        <v>1</v>
      </c>
      <c r="AB71" s="5">
        <v>0</v>
      </c>
      <c r="IF71">
        <v>-1</v>
      </c>
    </row>
    <row r="72" spans="1:240" x14ac:dyDescent="0.2">
      <c r="A72" s="5">
        <v>50</v>
      </c>
      <c r="B72" s="5">
        <v>0</v>
      </c>
      <c r="C72" s="5">
        <v>0</v>
      </c>
      <c r="D72" s="5">
        <v>1</v>
      </c>
      <c r="E72" s="5">
        <v>228</v>
      </c>
      <c r="F72" s="5">
        <f>ROUND(Source!AY64,O72)</f>
        <v>0</v>
      </c>
      <c r="G72" s="5" t="s">
        <v>58</v>
      </c>
      <c r="H72" s="5" t="s">
        <v>59</v>
      </c>
      <c r="I72" s="5"/>
      <c r="J72" s="5"/>
      <c r="K72" s="5">
        <v>228</v>
      </c>
      <c r="L72" s="5">
        <v>7</v>
      </c>
      <c r="M72" s="5">
        <v>3</v>
      </c>
      <c r="N72" s="5" t="s">
        <v>6</v>
      </c>
      <c r="O72" s="5">
        <v>0</v>
      </c>
      <c r="P72" s="5">
        <f>ROUND(Source!EQ64,O72)</f>
        <v>0</v>
      </c>
      <c r="Q72" s="5"/>
      <c r="R72" s="5"/>
      <c r="S72" s="5"/>
      <c r="T72" s="5"/>
      <c r="U72" s="5"/>
      <c r="V72" s="5"/>
      <c r="W72" s="5">
        <v>0</v>
      </c>
      <c r="X72" s="5">
        <v>1</v>
      </c>
      <c r="Y72" s="5">
        <v>0</v>
      </c>
      <c r="Z72" s="5">
        <v>0</v>
      </c>
      <c r="AA72" s="5">
        <v>1</v>
      </c>
      <c r="AB72" s="5">
        <v>0</v>
      </c>
      <c r="IF72">
        <v>-1</v>
      </c>
    </row>
    <row r="73" spans="1:240" x14ac:dyDescent="0.2">
      <c r="A73" s="5">
        <v>50</v>
      </c>
      <c r="B73" s="5">
        <v>0</v>
      </c>
      <c r="C73" s="5">
        <v>0</v>
      </c>
      <c r="D73" s="5">
        <v>1</v>
      </c>
      <c r="E73" s="5">
        <v>216</v>
      </c>
      <c r="F73" s="5">
        <f>ROUND(Source!AP64,O73)</f>
        <v>0</v>
      </c>
      <c r="G73" s="5" t="s">
        <v>60</v>
      </c>
      <c r="H73" s="5" t="s">
        <v>61</v>
      </c>
      <c r="I73" s="5"/>
      <c r="J73" s="5"/>
      <c r="K73" s="5">
        <v>216</v>
      </c>
      <c r="L73" s="5">
        <v>8</v>
      </c>
      <c r="M73" s="5">
        <v>3</v>
      </c>
      <c r="N73" s="5" t="s">
        <v>6</v>
      </c>
      <c r="O73" s="5">
        <v>0</v>
      </c>
      <c r="P73" s="5">
        <f>ROUND(Source!EH64,O73)</f>
        <v>0</v>
      </c>
      <c r="Q73" s="5"/>
      <c r="R73" s="5"/>
      <c r="S73" s="5"/>
      <c r="T73" s="5"/>
      <c r="U73" s="5"/>
      <c r="V73" s="5"/>
      <c r="W73" s="5">
        <v>0</v>
      </c>
      <c r="X73" s="5">
        <v>1</v>
      </c>
      <c r="Y73" s="5">
        <v>0</v>
      </c>
      <c r="Z73" s="5">
        <v>0</v>
      </c>
      <c r="AA73" s="5">
        <v>1</v>
      </c>
      <c r="AB73" s="5">
        <v>0</v>
      </c>
      <c r="IF73">
        <v>-1</v>
      </c>
    </row>
    <row r="74" spans="1:240" x14ac:dyDescent="0.2">
      <c r="A74" s="5">
        <v>50</v>
      </c>
      <c r="B74" s="5">
        <v>0</v>
      </c>
      <c r="C74" s="5">
        <v>0</v>
      </c>
      <c r="D74" s="5">
        <v>1</v>
      </c>
      <c r="E74" s="5">
        <v>223</v>
      </c>
      <c r="F74" s="5">
        <f>ROUND(Source!AQ64,O74)</f>
        <v>0</v>
      </c>
      <c r="G74" s="5" t="s">
        <v>62</v>
      </c>
      <c r="H74" s="5" t="s">
        <v>63</v>
      </c>
      <c r="I74" s="5"/>
      <c r="J74" s="5"/>
      <c r="K74" s="5">
        <v>223</v>
      </c>
      <c r="L74" s="5">
        <v>9</v>
      </c>
      <c r="M74" s="5">
        <v>3</v>
      </c>
      <c r="N74" s="5" t="s">
        <v>6</v>
      </c>
      <c r="O74" s="5">
        <v>0</v>
      </c>
      <c r="P74" s="5">
        <f>ROUND(Source!EI64,O74)</f>
        <v>0</v>
      </c>
      <c r="Q74" s="5"/>
      <c r="R74" s="5"/>
      <c r="S74" s="5"/>
      <c r="T74" s="5"/>
      <c r="U74" s="5"/>
      <c r="V74" s="5"/>
      <c r="W74" s="5">
        <v>0</v>
      </c>
      <c r="X74" s="5">
        <v>1</v>
      </c>
      <c r="Y74" s="5">
        <v>0</v>
      </c>
      <c r="Z74" s="5">
        <v>0</v>
      </c>
      <c r="AA74" s="5">
        <v>1</v>
      </c>
      <c r="AB74" s="5">
        <v>0</v>
      </c>
      <c r="IF74">
        <v>-1</v>
      </c>
    </row>
    <row r="75" spans="1:240" x14ac:dyDescent="0.2">
      <c r="A75" s="5">
        <v>50</v>
      </c>
      <c r="B75" s="5">
        <v>0</v>
      </c>
      <c r="C75" s="5">
        <v>0</v>
      </c>
      <c r="D75" s="5">
        <v>1</v>
      </c>
      <c r="E75" s="5">
        <v>229</v>
      </c>
      <c r="F75" s="5">
        <f>ROUND(Source!AZ64,O75)</f>
        <v>0</v>
      </c>
      <c r="G75" s="5" t="s">
        <v>64</v>
      </c>
      <c r="H75" s="5" t="s">
        <v>65</v>
      </c>
      <c r="I75" s="5"/>
      <c r="J75" s="5"/>
      <c r="K75" s="5">
        <v>229</v>
      </c>
      <c r="L75" s="5">
        <v>10</v>
      </c>
      <c r="M75" s="5">
        <v>3</v>
      </c>
      <c r="N75" s="5" t="s">
        <v>6</v>
      </c>
      <c r="O75" s="5">
        <v>0</v>
      </c>
      <c r="P75" s="5">
        <f>ROUND(Source!ER64,O75)</f>
        <v>0</v>
      </c>
      <c r="Q75" s="5"/>
      <c r="R75" s="5"/>
      <c r="S75" s="5"/>
      <c r="T75" s="5"/>
      <c r="U75" s="5"/>
      <c r="V75" s="5"/>
      <c r="W75" s="5">
        <v>0</v>
      </c>
      <c r="X75" s="5">
        <v>1</v>
      </c>
      <c r="Y75" s="5">
        <v>0</v>
      </c>
      <c r="Z75" s="5">
        <v>0</v>
      </c>
      <c r="AA75" s="5">
        <v>1</v>
      </c>
      <c r="AB75" s="5">
        <v>0</v>
      </c>
      <c r="IF75">
        <v>-1</v>
      </c>
    </row>
    <row r="76" spans="1:240" x14ac:dyDescent="0.2">
      <c r="A76" s="5">
        <v>50</v>
      </c>
      <c r="B76" s="5">
        <v>0</v>
      </c>
      <c r="C76" s="5">
        <v>0</v>
      </c>
      <c r="D76" s="5">
        <v>1</v>
      </c>
      <c r="E76" s="5">
        <v>203</v>
      </c>
      <c r="F76" s="5">
        <f>ROUND(Source!Q64,O76)</f>
        <v>27701</v>
      </c>
      <c r="G76" s="5" t="s">
        <v>66</v>
      </c>
      <c r="H76" s="5" t="s">
        <v>67</v>
      </c>
      <c r="I76" s="5"/>
      <c r="J76" s="5"/>
      <c r="K76" s="5">
        <v>203</v>
      </c>
      <c r="L76" s="5">
        <v>11</v>
      </c>
      <c r="M76" s="5">
        <v>3</v>
      </c>
      <c r="N76" s="5" t="s">
        <v>6</v>
      </c>
      <c r="O76" s="5">
        <v>0</v>
      </c>
      <c r="P76" s="5">
        <f>ROUND(Source!DI64,O76)</f>
        <v>189207</v>
      </c>
      <c r="Q76" s="5"/>
      <c r="R76" s="5"/>
      <c r="S76" s="5"/>
      <c r="T76" s="5"/>
      <c r="U76" s="5"/>
      <c r="V76" s="5"/>
      <c r="W76" s="5">
        <v>27701</v>
      </c>
      <c r="X76" s="5">
        <v>1</v>
      </c>
      <c r="Y76" s="5">
        <v>27701</v>
      </c>
      <c r="Z76" s="5">
        <v>189207</v>
      </c>
      <c r="AA76" s="5">
        <v>1</v>
      </c>
      <c r="AB76" s="5">
        <v>189207</v>
      </c>
      <c r="IF76">
        <v>-1</v>
      </c>
    </row>
    <row r="77" spans="1:240" x14ac:dyDescent="0.2">
      <c r="A77" s="5">
        <v>50</v>
      </c>
      <c r="B77" s="5">
        <v>0</v>
      </c>
      <c r="C77" s="5">
        <v>0</v>
      </c>
      <c r="D77" s="5">
        <v>1</v>
      </c>
      <c r="E77" s="5">
        <v>231</v>
      </c>
      <c r="F77" s="5">
        <f>ROUND(Source!BB64,O77)</f>
        <v>0</v>
      </c>
      <c r="G77" s="5" t="s">
        <v>68</v>
      </c>
      <c r="H77" s="5" t="s">
        <v>69</v>
      </c>
      <c r="I77" s="5"/>
      <c r="J77" s="5"/>
      <c r="K77" s="5">
        <v>231</v>
      </c>
      <c r="L77" s="5">
        <v>12</v>
      </c>
      <c r="M77" s="5">
        <v>3</v>
      </c>
      <c r="N77" s="5" t="s">
        <v>6</v>
      </c>
      <c r="O77" s="5">
        <v>0</v>
      </c>
      <c r="P77" s="5">
        <f>ROUND(Source!ET64,O77)</f>
        <v>0</v>
      </c>
      <c r="Q77" s="5"/>
      <c r="R77" s="5"/>
      <c r="S77" s="5"/>
      <c r="T77" s="5"/>
      <c r="U77" s="5"/>
      <c r="V77" s="5"/>
      <c r="W77" s="5">
        <v>0</v>
      </c>
      <c r="X77" s="5">
        <v>1</v>
      </c>
      <c r="Y77" s="5">
        <v>0</v>
      </c>
      <c r="Z77" s="5">
        <v>0</v>
      </c>
      <c r="AA77" s="5">
        <v>1</v>
      </c>
      <c r="AB77" s="5">
        <v>0</v>
      </c>
      <c r="IF77">
        <v>-1</v>
      </c>
    </row>
    <row r="78" spans="1:240" x14ac:dyDescent="0.2">
      <c r="A78" s="5">
        <v>50</v>
      </c>
      <c r="B78" s="5">
        <v>0</v>
      </c>
      <c r="C78" s="5">
        <v>0</v>
      </c>
      <c r="D78" s="5">
        <v>1</v>
      </c>
      <c r="E78" s="5">
        <v>204</v>
      </c>
      <c r="F78" s="5">
        <f>ROUND(Source!R64,O78)</f>
        <v>1304</v>
      </c>
      <c r="G78" s="5" t="s">
        <v>70</v>
      </c>
      <c r="H78" s="5" t="s">
        <v>71</v>
      </c>
      <c r="I78" s="5"/>
      <c r="J78" s="5"/>
      <c r="K78" s="5">
        <v>204</v>
      </c>
      <c r="L78" s="5">
        <v>13</v>
      </c>
      <c r="M78" s="5">
        <v>3</v>
      </c>
      <c r="N78" s="5" t="s">
        <v>6</v>
      </c>
      <c r="O78" s="5">
        <v>0</v>
      </c>
      <c r="P78" s="5">
        <f>ROUND(Source!DJ64,O78)</f>
        <v>23899</v>
      </c>
      <c r="Q78" s="5"/>
      <c r="R78" s="5"/>
      <c r="S78" s="5"/>
      <c r="T78" s="5"/>
      <c r="U78" s="5"/>
      <c r="V78" s="5"/>
      <c r="W78" s="5">
        <v>1304</v>
      </c>
      <c r="X78" s="5">
        <v>1</v>
      </c>
      <c r="Y78" s="5">
        <v>1304</v>
      </c>
      <c r="Z78" s="5">
        <v>23899</v>
      </c>
      <c r="AA78" s="5">
        <v>1</v>
      </c>
      <c r="AB78" s="5">
        <v>23899</v>
      </c>
      <c r="IF78">
        <v>-1</v>
      </c>
    </row>
    <row r="79" spans="1:240" x14ac:dyDescent="0.2">
      <c r="A79" s="5">
        <v>50</v>
      </c>
      <c r="B79" s="5">
        <v>0</v>
      </c>
      <c r="C79" s="5">
        <v>0</v>
      </c>
      <c r="D79" s="5">
        <v>1</v>
      </c>
      <c r="E79" s="5">
        <v>205</v>
      </c>
      <c r="F79" s="5">
        <f>ROUND(Source!S64,O79)</f>
        <v>2189</v>
      </c>
      <c r="G79" s="5" t="s">
        <v>72</v>
      </c>
      <c r="H79" s="5" t="s">
        <v>73</v>
      </c>
      <c r="I79" s="5"/>
      <c r="J79" s="5"/>
      <c r="K79" s="5">
        <v>205</v>
      </c>
      <c r="L79" s="5">
        <v>14</v>
      </c>
      <c r="M79" s="5">
        <v>3</v>
      </c>
      <c r="N79" s="5" t="s">
        <v>6</v>
      </c>
      <c r="O79" s="5">
        <v>0</v>
      </c>
      <c r="P79" s="5">
        <f>ROUND(Source!DK64,O79)</f>
        <v>55455</v>
      </c>
      <c r="Q79" s="5"/>
      <c r="R79" s="5"/>
      <c r="S79" s="5"/>
      <c r="T79" s="5"/>
      <c r="U79" s="5"/>
      <c r="V79" s="5"/>
      <c r="W79" s="5">
        <v>2189</v>
      </c>
      <c r="X79" s="5">
        <v>1</v>
      </c>
      <c r="Y79" s="5">
        <v>2189</v>
      </c>
      <c r="Z79" s="5">
        <v>55455</v>
      </c>
      <c r="AA79" s="5">
        <v>1</v>
      </c>
      <c r="AB79" s="5">
        <v>55455</v>
      </c>
      <c r="IF79">
        <v>-1</v>
      </c>
    </row>
    <row r="80" spans="1:240" x14ac:dyDescent="0.2">
      <c r="A80" s="5">
        <v>50</v>
      </c>
      <c r="B80" s="5">
        <v>0</v>
      </c>
      <c r="C80" s="5">
        <v>0</v>
      </c>
      <c r="D80" s="5">
        <v>1</v>
      </c>
      <c r="E80" s="5">
        <v>232</v>
      </c>
      <c r="F80" s="5">
        <f>ROUND(Source!BC64,O80)</f>
        <v>0</v>
      </c>
      <c r="G80" s="5" t="s">
        <v>74</v>
      </c>
      <c r="H80" s="5" t="s">
        <v>75</v>
      </c>
      <c r="I80" s="5"/>
      <c r="J80" s="5"/>
      <c r="K80" s="5">
        <v>232</v>
      </c>
      <c r="L80" s="5">
        <v>15</v>
      </c>
      <c r="M80" s="5">
        <v>3</v>
      </c>
      <c r="N80" s="5" t="s">
        <v>6</v>
      </c>
      <c r="O80" s="5">
        <v>0</v>
      </c>
      <c r="P80" s="5">
        <f>ROUND(Source!EU64,O80)</f>
        <v>0</v>
      </c>
      <c r="Q80" s="5"/>
      <c r="R80" s="5"/>
      <c r="S80" s="5"/>
      <c r="T80" s="5"/>
      <c r="U80" s="5"/>
      <c r="V80" s="5"/>
      <c r="W80" s="5">
        <v>0</v>
      </c>
      <c r="X80" s="5">
        <v>1</v>
      </c>
      <c r="Y80" s="5">
        <v>0</v>
      </c>
      <c r="Z80" s="5">
        <v>0</v>
      </c>
      <c r="AA80" s="5">
        <v>1</v>
      </c>
      <c r="AB80" s="5">
        <v>0</v>
      </c>
      <c r="IF80">
        <v>-1</v>
      </c>
    </row>
    <row r="81" spans="1:240" x14ac:dyDescent="0.2">
      <c r="A81" s="5">
        <v>50</v>
      </c>
      <c r="B81" s="5">
        <v>0</v>
      </c>
      <c r="C81" s="5">
        <v>0</v>
      </c>
      <c r="D81" s="5">
        <v>1</v>
      </c>
      <c r="E81" s="5">
        <v>214</v>
      </c>
      <c r="F81" s="5">
        <f>ROUND(Source!AS64,O81)</f>
        <v>34537</v>
      </c>
      <c r="G81" s="5" t="s">
        <v>76</v>
      </c>
      <c r="H81" s="5" t="s">
        <v>77</v>
      </c>
      <c r="I81" s="5"/>
      <c r="J81" s="5"/>
      <c r="K81" s="5">
        <v>214</v>
      </c>
      <c r="L81" s="5">
        <v>16</v>
      </c>
      <c r="M81" s="5">
        <v>3</v>
      </c>
      <c r="N81" s="5" t="s">
        <v>6</v>
      </c>
      <c r="O81" s="5">
        <v>0</v>
      </c>
      <c r="P81" s="5">
        <f>ROUND(Source!EK64,O81)</f>
        <v>340109</v>
      </c>
      <c r="Q81" s="5"/>
      <c r="R81" s="5"/>
      <c r="S81" s="5"/>
      <c r="T81" s="5"/>
      <c r="U81" s="5"/>
      <c r="V81" s="5"/>
      <c r="W81" s="5">
        <v>34537</v>
      </c>
      <c r="X81" s="5">
        <v>1</v>
      </c>
      <c r="Y81" s="5">
        <v>34537</v>
      </c>
      <c r="Z81" s="5">
        <v>340109</v>
      </c>
      <c r="AA81" s="5">
        <v>1</v>
      </c>
      <c r="AB81" s="5">
        <v>340109</v>
      </c>
      <c r="IF81">
        <v>-1</v>
      </c>
    </row>
    <row r="82" spans="1:240" x14ac:dyDescent="0.2">
      <c r="A82" s="5">
        <v>50</v>
      </c>
      <c r="B82" s="5">
        <v>0</v>
      </c>
      <c r="C82" s="5">
        <v>0</v>
      </c>
      <c r="D82" s="5">
        <v>1</v>
      </c>
      <c r="E82" s="5">
        <v>215</v>
      </c>
      <c r="F82" s="5">
        <f>ROUND(Source!AT64,O82)</f>
        <v>0</v>
      </c>
      <c r="G82" s="5" t="s">
        <v>78</v>
      </c>
      <c r="H82" s="5" t="s">
        <v>79</v>
      </c>
      <c r="I82" s="5"/>
      <c r="J82" s="5"/>
      <c r="K82" s="5">
        <v>215</v>
      </c>
      <c r="L82" s="5">
        <v>17</v>
      </c>
      <c r="M82" s="5">
        <v>3</v>
      </c>
      <c r="N82" s="5" t="s">
        <v>6</v>
      </c>
      <c r="O82" s="5">
        <v>0</v>
      </c>
      <c r="P82" s="5">
        <f>ROUND(Source!EL64,O82)</f>
        <v>0</v>
      </c>
      <c r="Q82" s="5"/>
      <c r="R82" s="5"/>
      <c r="S82" s="5"/>
      <c r="T82" s="5"/>
      <c r="U82" s="5"/>
      <c r="V82" s="5"/>
      <c r="W82" s="5">
        <v>0</v>
      </c>
      <c r="X82" s="5">
        <v>1</v>
      </c>
      <c r="Y82" s="5">
        <v>0</v>
      </c>
      <c r="Z82" s="5">
        <v>0</v>
      </c>
      <c r="AA82" s="5">
        <v>1</v>
      </c>
      <c r="AB82" s="5">
        <v>0</v>
      </c>
      <c r="IF82">
        <v>-1</v>
      </c>
    </row>
    <row r="83" spans="1:240" x14ac:dyDescent="0.2">
      <c r="A83" s="5">
        <v>50</v>
      </c>
      <c r="B83" s="5">
        <v>0</v>
      </c>
      <c r="C83" s="5">
        <v>0</v>
      </c>
      <c r="D83" s="5">
        <v>1</v>
      </c>
      <c r="E83" s="5">
        <v>217</v>
      </c>
      <c r="F83" s="5">
        <f>ROUND(Source!AU64,O83)</f>
        <v>0</v>
      </c>
      <c r="G83" s="5" t="s">
        <v>80</v>
      </c>
      <c r="H83" s="5" t="s">
        <v>81</v>
      </c>
      <c r="I83" s="5"/>
      <c r="J83" s="5"/>
      <c r="K83" s="5">
        <v>217</v>
      </c>
      <c r="L83" s="5">
        <v>18</v>
      </c>
      <c r="M83" s="5">
        <v>3</v>
      </c>
      <c r="N83" s="5" t="s">
        <v>6</v>
      </c>
      <c r="O83" s="5">
        <v>0</v>
      </c>
      <c r="P83" s="5">
        <f>ROUND(Source!EM64,O83)</f>
        <v>0</v>
      </c>
      <c r="Q83" s="5"/>
      <c r="R83" s="5"/>
      <c r="S83" s="5"/>
      <c r="T83" s="5"/>
      <c r="U83" s="5"/>
      <c r="V83" s="5"/>
      <c r="W83" s="5">
        <v>0</v>
      </c>
      <c r="X83" s="5">
        <v>1</v>
      </c>
      <c r="Y83" s="5">
        <v>0</v>
      </c>
      <c r="Z83" s="5">
        <v>0</v>
      </c>
      <c r="AA83" s="5">
        <v>1</v>
      </c>
      <c r="AB83" s="5">
        <v>0</v>
      </c>
      <c r="IF83">
        <v>-1</v>
      </c>
    </row>
    <row r="84" spans="1:240" x14ac:dyDescent="0.2">
      <c r="A84" s="5">
        <v>50</v>
      </c>
      <c r="B84" s="5">
        <v>0</v>
      </c>
      <c r="C84" s="5">
        <v>0</v>
      </c>
      <c r="D84" s="5">
        <v>1</v>
      </c>
      <c r="E84" s="5">
        <v>230</v>
      </c>
      <c r="F84" s="5">
        <f>ROUND(Source!BA64,O84)</f>
        <v>0</v>
      </c>
      <c r="G84" s="5" t="s">
        <v>82</v>
      </c>
      <c r="H84" s="5" t="s">
        <v>83</v>
      </c>
      <c r="I84" s="5"/>
      <c r="J84" s="5"/>
      <c r="K84" s="5">
        <v>230</v>
      </c>
      <c r="L84" s="5">
        <v>19</v>
      </c>
      <c r="M84" s="5">
        <v>3</v>
      </c>
      <c r="N84" s="5" t="s">
        <v>6</v>
      </c>
      <c r="O84" s="5">
        <v>0</v>
      </c>
      <c r="P84" s="5">
        <f>ROUND(Source!ES64,O84)</f>
        <v>0</v>
      </c>
      <c r="Q84" s="5"/>
      <c r="R84" s="5"/>
      <c r="S84" s="5"/>
      <c r="T84" s="5"/>
      <c r="U84" s="5"/>
      <c r="V84" s="5"/>
      <c r="W84" s="5">
        <v>0</v>
      </c>
      <c r="X84" s="5">
        <v>1</v>
      </c>
      <c r="Y84" s="5">
        <v>0</v>
      </c>
      <c r="Z84" s="5">
        <v>0</v>
      </c>
      <c r="AA84" s="5">
        <v>1</v>
      </c>
      <c r="AB84" s="5">
        <v>0</v>
      </c>
      <c r="IF84">
        <v>-1</v>
      </c>
    </row>
    <row r="85" spans="1:240" x14ac:dyDescent="0.2">
      <c r="A85" s="5">
        <v>50</v>
      </c>
      <c r="B85" s="5">
        <v>0</v>
      </c>
      <c r="C85" s="5">
        <v>0</v>
      </c>
      <c r="D85" s="5">
        <v>1</v>
      </c>
      <c r="E85" s="5">
        <v>206</v>
      </c>
      <c r="F85" s="5">
        <f>ROUND(Source!T64,O85)</f>
        <v>0</v>
      </c>
      <c r="G85" s="5" t="s">
        <v>84</v>
      </c>
      <c r="H85" s="5" t="s">
        <v>85</v>
      </c>
      <c r="I85" s="5"/>
      <c r="J85" s="5"/>
      <c r="K85" s="5">
        <v>206</v>
      </c>
      <c r="L85" s="5">
        <v>20</v>
      </c>
      <c r="M85" s="5">
        <v>3</v>
      </c>
      <c r="N85" s="5" t="s">
        <v>6</v>
      </c>
      <c r="O85" s="5">
        <v>0</v>
      </c>
      <c r="P85" s="5">
        <f>ROUND(Source!DL64,O85)</f>
        <v>0</v>
      </c>
      <c r="Q85" s="5"/>
      <c r="R85" s="5"/>
      <c r="S85" s="5"/>
      <c r="T85" s="5"/>
      <c r="U85" s="5"/>
      <c r="V85" s="5"/>
      <c r="W85" s="5">
        <v>0</v>
      </c>
      <c r="X85" s="5">
        <v>1</v>
      </c>
      <c r="Y85" s="5">
        <v>0</v>
      </c>
      <c r="Z85" s="5">
        <v>0</v>
      </c>
      <c r="AA85" s="5">
        <v>1</v>
      </c>
      <c r="AB85" s="5">
        <v>0</v>
      </c>
      <c r="IF85">
        <v>-1</v>
      </c>
    </row>
    <row r="86" spans="1:240" x14ac:dyDescent="0.2">
      <c r="A86" s="5">
        <v>50</v>
      </c>
      <c r="B86" s="5">
        <v>0</v>
      </c>
      <c r="C86" s="5">
        <v>0</v>
      </c>
      <c r="D86" s="5">
        <v>1</v>
      </c>
      <c r="E86" s="5">
        <v>207</v>
      </c>
      <c r="F86" s="5">
        <f>Source!U64</f>
        <v>278.18263499999995</v>
      </c>
      <c r="G86" s="5" t="s">
        <v>86</v>
      </c>
      <c r="H86" s="5" t="s">
        <v>87</v>
      </c>
      <c r="I86" s="5"/>
      <c r="J86" s="5"/>
      <c r="K86" s="5">
        <v>207</v>
      </c>
      <c r="L86" s="5">
        <v>21</v>
      </c>
      <c r="M86" s="5">
        <v>3</v>
      </c>
      <c r="N86" s="5" t="s">
        <v>6</v>
      </c>
      <c r="O86" s="5">
        <v>-1</v>
      </c>
      <c r="P86" s="5">
        <f>Source!DM64</f>
        <v>278.18263499999995</v>
      </c>
      <c r="Q86" s="5"/>
      <c r="R86" s="5"/>
      <c r="S86" s="5"/>
      <c r="T86" s="5"/>
      <c r="U86" s="5"/>
      <c r="V86" s="5"/>
      <c r="W86" s="5">
        <v>278.182635</v>
      </c>
      <c r="X86" s="5">
        <v>1</v>
      </c>
      <c r="Y86" s="5">
        <v>278.182635</v>
      </c>
      <c r="Z86" s="5">
        <v>278.182635</v>
      </c>
      <c r="AA86" s="5">
        <v>1</v>
      </c>
      <c r="AB86" s="5">
        <v>278.182635</v>
      </c>
      <c r="IF86">
        <v>-1</v>
      </c>
    </row>
    <row r="87" spans="1:240" x14ac:dyDescent="0.2">
      <c r="A87" s="5">
        <v>50</v>
      </c>
      <c r="B87" s="5">
        <v>0</v>
      </c>
      <c r="C87" s="5">
        <v>0</v>
      </c>
      <c r="D87" s="5">
        <v>1</v>
      </c>
      <c r="E87" s="5">
        <v>208</v>
      </c>
      <c r="F87" s="5">
        <f>Source!V64</f>
        <v>95.796950999999993</v>
      </c>
      <c r="G87" s="5" t="s">
        <v>88</v>
      </c>
      <c r="H87" s="5" t="s">
        <v>89</v>
      </c>
      <c r="I87" s="5"/>
      <c r="J87" s="5"/>
      <c r="K87" s="5">
        <v>208</v>
      </c>
      <c r="L87" s="5">
        <v>22</v>
      </c>
      <c r="M87" s="5">
        <v>3</v>
      </c>
      <c r="N87" s="5" t="s">
        <v>6</v>
      </c>
      <c r="O87" s="5">
        <v>-1</v>
      </c>
      <c r="P87" s="5">
        <f>Source!DN64</f>
        <v>95.796950999999993</v>
      </c>
      <c r="Q87" s="5"/>
      <c r="R87" s="5"/>
      <c r="S87" s="5"/>
      <c r="T87" s="5"/>
      <c r="U87" s="5"/>
      <c r="V87" s="5"/>
      <c r="W87" s="5">
        <v>95.796950999999993</v>
      </c>
      <c r="X87" s="5">
        <v>1</v>
      </c>
      <c r="Y87" s="5">
        <v>95.796950999999993</v>
      </c>
      <c r="Z87" s="5">
        <v>95.796950999999993</v>
      </c>
      <c r="AA87" s="5">
        <v>1</v>
      </c>
      <c r="AB87" s="5">
        <v>95.796950999999993</v>
      </c>
      <c r="IF87">
        <v>-1</v>
      </c>
    </row>
    <row r="88" spans="1:240" x14ac:dyDescent="0.2">
      <c r="A88" s="5">
        <v>50</v>
      </c>
      <c r="B88" s="5">
        <v>0</v>
      </c>
      <c r="C88" s="5">
        <v>0</v>
      </c>
      <c r="D88" s="5">
        <v>1</v>
      </c>
      <c r="E88" s="5">
        <v>209</v>
      </c>
      <c r="F88" s="5">
        <f>ROUND(Source!W64,O88)</f>
        <v>0</v>
      </c>
      <c r="G88" s="5" t="s">
        <v>90</v>
      </c>
      <c r="H88" s="5" t="s">
        <v>91</v>
      </c>
      <c r="I88" s="5"/>
      <c r="J88" s="5"/>
      <c r="K88" s="5">
        <v>209</v>
      </c>
      <c r="L88" s="5">
        <v>23</v>
      </c>
      <c r="M88" s="5">
        <v>3</v>
      </c>
      <c r="N88" s="5" t="s">
        <v>6</v>
      </c>
      <c r="O88" s="5">
        <v>0</v>
      </c>
      <c r="P88" s="5">
        <f>ROUND(Source!DO64,O88)</f>
        <v>0</v>
      </c>
      <c r="Q88" s="5"/>
      <c r="R88" s="5"/>
      <c r="S88" s="5"/>
      <c r="T88" s="5"/>
      <c r="U88" s="5"/>
      <c r="V88" s="5"/>
      <c r="W88" s="5">
        <v>0</v>
      </c>
      <c r="X88" s="5">
        <v>1</v>
      </c>
      <c r="Y88" s="5">
        <v>0</v>
      </c>
      <c r="Z88" s="5">
        <v>0</v>
      </c>
      <c r="AA88" s="5">
        <v>1</v>
      </c>
      <c r="AB88" s="5">
        <v>0</v>
      </c>
      <c r="IF88">
        <v>-1</v>
      </c>
    </row>
    <row r="89" spans="1:240" x14ac:dyDescent="0.2">
      <c r="A89" s="5">
        <v>50</v>
      </c>
      <c r="B89" s="5">
        <v>0</v>
      </c>
      <c r="C89" s="5">
        <v>0</v>
      </c>
      <c r="D89" s="5">
        <v>1</v>
      </c>
      <c r="E89" s="5">
        <v>233</v>
      </c>
      <c r="F89" s="5">
        <f>ROUND(Source!BD64,O89)</f>
        <v>16406</v>
      </c>
      <c r="G89" s="5" t="s">
        <v>92</v>
      </c>
      <c r="H89" s="5" t="s">
        <v>93</v>
      </c>
      <c r="I89" s="5"/>
      <c r="J89" s="5"/>
      <c r="K89" s="5">
        <v>233</v>
      </c>
      <c r="L89" s="5">
        <v>24</v>
      </c>
      <c r="M89" s="5">
        <v>3</v>
      </c>
      <c r="N89" s="5" t="s">
        <v>6</v>
      </c>
      <c r="O89" s="5">
        <v>0</v>
      </c>
      <c r="P89" s="5">
        <f>ROUND(Source!EV64,O89)</f>
        <v>116807</v>
      </c>
      <c r="Q89" s="5"/>
      <c r="R89" s="5"/>
      <c r="S89" s="5"/>
      <c r="T89" s="5"/>
      <c r="U89" s="5"/>
      <c r="V89" s="5"/>
      <c r="W89" s="5">
        <v>16406</v>
      </c>
      <c r="X89" s="5">
        <v>1</v>
      </c>
      <c r="Y89" s="5">
        <v>16406</v>
      </c>
      <c r="Z89" s="5">
        <v>116807</v>
      </c>
      <c r="AA89" s="5">
        <v>1</v>
      </c>
      <c r="AB89" s="5">
        <v>116807</v>
      </c>
      <c r="IF89">
        <v>-1</v>
      </c>
    </row>
    <row r="90" spans="1:240" x14ac:dyDescent="0.2">
      <c r="A90" s="5">
        <v>50</v>
      </c>
      <c r="B90" s="5">
        <v>0</v>
      </c>
      <c r="C90" s="5">
        <v>0</v>
      </c>
      <c r="D90" s="5">
        <v>1</v>
      </c>
      <c r="E90" s="5">
        <v>210</v>
      </c>
      <c r="F90" s="5">
        <f>ROUND(Source!X64,O90)</f>
        <v>3004</v>
      </c>
      <c r="G90" s="5" t="s">
        <v>94</v>
      </c>
      <c r="H90" s="5" t="s">
        <v>95</v>
      </c>
      <c r="I90" s="5"/>
      <c r="J90" s="5"/>
      <c r="K90" s="5">
        <v>210</v>
      </c>
      <c r="L90" s="5">
        <v>25</v>
      </c>
      <c r="M90" s="5">
        <v>3</v>
      </c>
      <c r="N90" s="5" t="s">
        <v>6</v>
      </c>
      <c r="O90" s="5">
        <v>0</v>
      </c>
      <c r="P90" s="5">
        <f>ROUND(Source!DP64,O90)</f>
        <v>63981</v>
      </c>
      <c r="Q90" s="5"/>
      <c r="R90" s="5"/>
      <c r="S90" s="5"/>
      <c r="T90" s="5"/>
      <c r="U90" s="5"/>
      <c r="V90" s="5"/>
      <c r="W90" s="5">
        <v>3004</v>
      </c>
      <c r="X90" s="5">
        <v>1</v>
      </c>
      <c r="Y90" s="5">
        <v>3004</v>
      </c>
      <c r="Z90" s="5">
        <v>63981</v>
      </c>
      <c r="AA90" s="5">
        <v>1</v>
      </c>
      <c r="AB90" s="5">
        <v>63981</v>
      </c>
      <c r="IF90">
        <v>-1</v>
      </c>
    </row>
    <row r="91" spans="1:240" x14ac:dyDescent="0.2">
      <c r="A91" s="5">
        <v>50</v>
      </c>
      <c r="B91" s="5">
        <v>0</v>
      </c>
      <c r="C91" s="5">
        <v>0</v>
      </c>
      <c r="D91" s="5">
        <v>1</v>
      </c>
      <c r="E91" s="5">
        <v>211</v>
      </c>
      <c r="F91" s="5">
        <f>ROUND(Source!Y64,O91)</f>
        <v>1643</v>
      </c>
      <c r="G91" s="5" t="s">
        <v>96</v>
      </c>
      <c r="H91" s="5" t="s">
        <v>97</v>
      </c>
      <c r="I91" s="5"/>
      <c r="J91" s="5"/>
      <c r="K91" s="5">
        <v>211</v>
      </c>
      <c r="L91" s="5">
        <v>26</v>
      </c>
      <c r="M91" s="5">
        <v>3</v>
      </c>
      <c r="N91" s="5" t="s">
        <v>6</v>
      </c>
      <c r="O91" s="5">
        <v>0</v>
      </c>
      <c r="P91" s="5">
        <f>ROUND(Source!DQ64,O91)</f>
        <v>31466</v>
      </c>
      <c r="Q91" s="5"/>
      <c r="R91" s="5"/>
      <c r="S91" s="5"/>
      <c r="T91" s="5"/>
      <c r="U91" s="5"/>
      <c r="V91" s="5"/>
      <c r="W91" s="5">
        <v>1643</v>
      </c>
      <c r="X91" s="5">
        <v>1</v>
      </c>
      <c r="Y91" s="5">
        <v>1643</v>
      </c>
      <c r="Z91" s="5">
        <v>31466</v>
      </c>
      <c r="AA91" s="5">
        <v>1</v>
      </c>
      <c r="AB91" s="5">
        <v>31466</v>
      </c>
      <c r="IF91">
        <v>-1</v>
      </c>
    </row>
    <row r="92" spans="1:240" x14ac:dyDescent="0.2">
      <c r="A92" s="5">
        <v>50</v>
      </c>
      <c r="B92" s="5">
        <v>0</v>
      </c>
      <c r="C92" s="5">
        <v>0</v>
      </c>
      <c r="D92" s="5">
        <v>1</v>
      </c>
      <c r="E92" s="5">
        <v>224</v>
      </c>
      <c r="F92" s="5">
        <f>ROUND(Source!AR64,O92)</f>
        <v>34537</v>
      </c>
      <c r="G92" s="5" t="s">
        <v>98</v>
      </c>
      <c r="H92" s="5" t="s">
        <v>99</v>
      </c>
      <c r="I92" s="5"/>
      <c r="J92" s="5"/>
      <c r="K92" s="5">
        <v>224</v>
      </c>
      <c r="L92" s="5">
        <v>27</v>
      </c>
      <c r="M92" s="5">
        <v>3</v>
      </c>
      <c r="N92" s="5" t="s">
        <v>6</v>
      </c>
      <c r="O92" s="5">
        <v>0</v>
      </c>
      <c r="P92" s="5">
        <f>ROUND(Source!EJ64,O92)</f>
        <v>340109</v>
      </c>
      <c r="Q92" s="5"/>
      <c r="R92" s="5"/>
      <c r="S92" s="5"/>
      <c r="T92" s="5"/>
      <c r="U92" s="5"/>
      <c r="V92" s="5"/>
      <c r="W92" s="5">
        <v>34537</v>
      </c>
      <c r="X92" s="5">
        <v>1</v>
      </c>
      <c r="Y92" s="5">
        <v>34537</v>
      </c>
      <c r="Z92" s="5">
        <v>340109</v>
      </c>
      <c r="AA92" s="5">
        <v>1</v>
      </c>
      <c r="AB92" s="5">
        <v>340109</v>
      </c>
      <c r="IF92">
        <v>-1</v>
      </c>
    </row>
    <row r="93" spans="1:240" x14ac:dyDescent="0.2">
      <c r="IF93">
        <v>-1</v>
      </c>
    </row>
    <row r="94" spans="1:240" x14ac:dyDescent="0.2">
      <c r="IF94">
        <v>-1</v>
      </c>
    </row>
    <row r="95" spans="1:240" x14ac:dyDescent="0.2">
      <c r="A95">
        <v>70</v>
      </c>
      <c r="B95">
        <v>1</v>
      </c>
      <c r="D95">
        <v>1</v>
      </c>
      <c r="E95" t="s">
        <v>100</v>
      </c>
      <c r="F95" t="s">
        <v>101</v>
      </c>
      <c r="G95">
        <v>1</v>
      </c>
      <c r="H95">
        <v>0</v>
      </c>
      <c r="I95" t="s">
        <v>102</v>
      </c>
      <c r="J95">
        <v>0</v>
      </c>
      <c r="K95">
        <v>0</v>
      </c>
      <c r="L95" t="s">
        <v>6</v>
      </c>
      <c r="M95" t="s">
        <v>6</v>
      </c>
      <c r="N95">
        <v>0</v>
      </c>
      <c r="O95">
        <v>1</v>
      </c>
      <c r="P95" t="s">
        <v>103</v>
      </c>
      <c r="IF95">
        <v>-1</v>
      </c>
    </row>
    <row r="96" spans="1:240" x14ac:dyDescent="0.2">
      <c r="A96">
        <v>70</v>
      </c>
      <c r="B96">
        <v>1</v>
      </c>
      <c r="D96">
        <v>2</v>
      </c>
      <c r="E96" t="s">
        <v>104</v>
      </c>
      <c r="F96" t="s">
        <v>105</v>
      </c>
      <c r="G96">
        <v>0</v>
      </c>
      <c r="H96">
        <v>0</v>
      </c>
      <c r="I96" t="s">
        <v>102</v>
      </c>
      <c r="J96">
        <v>0</v>
      </c>
      <c r="K96">
        <v>0</v>
      </c>
      <c r="L96" t="s">
        <v>6</v>
      </c>
      <c r="M96" t="s">
        <v>6</v>
      </c>
      <c r="N96">
        <v>0</v>
      </c>
      <c r="O96">
        <v>0</v>
      </c>
      <c r="P96" t="s">
        <v>106</v>
      </c>
      <c r="IF96">
        <v>-1</v>
      </c>
    </row>
    <row r="97" spans="1:240" x14ac:dyDescent="0.2">
      <c r="A97">
        <v>70</v>
      </c>
      <c r="B97">
        <v>1</v>
      </c>
      <c r="D97">
        <v>3</v>
      </c>
      <c r="E97" t="s">
        <v>107</v>
      </c>
      <c r="F97" t="s">
        <v>108</v>
      </c>
      <c r="G97">
        <v>0</v>
      </c>
      <c r="H97">
        <v>0</v>
      </c>
      <c r="I97" t="s">
        <v>102</v>
      </c>
      <c r="J97">
        <v>0</v>
      </c>
      <c r="K97">
        <v>0</v>
      </c>
      <c r="L97" t="s">
        <v>6</v>
      </c>
      <c r="M97" t="s">
        <v>6</v>
      </c>
      <c r="N97">
        <v>0</v>
      </c>
      <c r="O97">
        <v>0</v>
      </c>
      <c r="P97" t="s">
        <v>109</v>
      </c>
      <c r="IF97">
        <v>-1</v>
      </c>
    </row>
    <row r="98" spans="1:240" x14ac:dyDescent="0.2">
      <c r="A98">
        <v>70</v>
      </c>
      <c r="B98">
        <v>1</v>
      </c>
      <c r="D98">
        <v>4</v>
      </c>
      <c r="E98" t="s">
        <v>110</v>
      </c>
      <c r="F98" t="s">
        <v>111</v>
      </c>
      <c r="G98">
        <v>0</v>
      </c>
      <c r="H98">
        <v>0</v>
      </c>
      <c r="I98" t="s">
        <v>102</v>
      </c>
      <c r="J98">
        <v>0</v>
      </c>
      <c r="K98">
        <v>0</v>
      </c>
      <c r="L98" t="s">
        <v>6</v>
      </c>
      <c r="M98" t="s">
        <v>6</v>
      </c>
      <c r="N98">
        <v>0</v>
      </c>
      <c r="O98">
        <v>0</v>
      </c>
      <c r="P98" t="s">
        <v>112</v>
      </c>
      <c r="IF98">
        <v>-1</v>
      </c>
    </row>
    <row r="99" spans="1:240" x14ac:dyDescent="0.2">
      <c r="A99">
        <v>70</v>
      </c>
      <c r="B99">
        <v>1</v>
      </c>
      <c r="D99">
        <v>5</v>
      </c>
      <c r="E99" t="s">
        <v>113</v>
      </c>
      <c r="F99" t="s">
        <v>114</v>
      </c>
      <c r="G99">
        <v>0</v>
      </c>
      <c r="H99">
        <v>0</v>
      </c>
      <c r="I99" t="s">
        <v>102</v>
      </c>
      <c r="J99">
        <v>0</v>
      </c>
      <c r="K99">
        <v>0</v>
      </c>
      <c r="L99" t="s">
        <v>6</v>
      </c>
      <c r="M99" t="s">
        <v>6</v>
      </c>
      <c r="N99">
        <v>0</v>
      </c>
      <c r="O99">
        <v>0</v>
      </c>
      <c r="P99" t="s">
        <v>115</v>
      </c>
      <c r="IF99">
        <v>-1</v>
      </c>
    </row>
    <row r="100" spans="1:240" x14ac:dyDescent="0.2">
      <c r="A100">
        <v>70</v>
      </c>
      <c r="B100">
        <v>1</v>
      </c>
      <c r="D100">
        <v>6</v>
      </c>
      <c r="E100" t="s">
        <v>116</v>
      </c>
      <c r="F100" t="s">
        <v>117</v>
      </c>
      <c r="G100">
        <v>0</v>
      </c>
      <c r="H100">
        <v>0</v>
      </c>
      <c r="I100" t="s">
        <v>102</v>
      </c>
      <c r="J100">
        <v>0</v>
      </c>
      <c r="K100">
        <v>0</v>
      </c>
      <c r="L100" t="s">
        <v>6</v>
      </c>
      <c r="M100" t="s">
        <v>6</v>
      </c>
      <c r="N100">
        <v>0</v>
      </c>
      <c r="O100">
        <v>0</v>
      </c>
      <c r="P100" t="s">
        <v>118</v>
      </c>
      <c r="IF100">
        <v>-1</v>
      </c>
    </row>
    <row r="101" spans="1:240" x14ac:dyDescent="0.2">
      <c r="A101">
        <v>70</v>
      </c>
      <c r="B101">
        <v>1</v>
      </c>
      <c r="D101">
        <v>7</v>
      </c>
      <c r="E101" t="s">
        <v>119</v>
      </c>
      <c r="F101" t="s">
        <v>120</v>
      </c>
      <c r="G101">
        <v>0</v>
      </c>
      <c r="H101">
        <v>0</v>
      </c>
      <c r="I101" t="s">
        <v>102</v>
      </c>
      <c r="J101">
        <v>0</v>
      </c>
      <c r="K101">
        <v>0</v>
      </c>
      <c r="L101" t="s">
        <v>6</v>
      </c>
      <c r="M101" t="s">
        <v>6</v>
      </c>
      <c r="N101">
        <v>0</v>
      </c>
      <c r="O101">
        <v>0</v>
      </c>
      <c r="P101" t="s">
        <v>121</v>
      </c>
      <c r="IF101">
        <v>-1</v>
      </c>
    </row>
    <row r="102" spans="1:240" x14ac:dyDescent="0.2">
      <c r="A102">
        <v>70</v>
      </c>
      <c r="B102">
        <v>1</v>
      </c>
      <c r="D102">
        <v>8</v>
      </c>
      <c r="E102" t="s">
        <v>122</v>
      </c>
      <c r="F102" t="s">
        <v>123</v>
      </c>
      <c r="G102">
        <v>0</v>
      </c>
      <c r="H102">
        <v>0</v>
      </c>
      <c r="I102" t="s">
        <v>102</v>
      </c>
      <c r="J102">
        <v>0</v>
      </c>
      <c r="K102">
        <v>0</v>
      </c>
      <c r="L102" t="s">
        <v>6</v>
      </c>
      <c r="M102" t="s">
        <v>6</v>
      </c>
      <c r="N102">
        <v>0</v>
      </c>
      <c r="O102">
        <v>0</v>
      </c>
      <c r="P102" t="s">
        <v>124</v>
      </c>
      <c r="IF102">
        <v>-1</v>
      </c>
    </row>
    <row r="103" spans="1:240" x14ac:dyDescent="0.2">
      <c r="A103">
        <v>70</v>
      </c>
      <c r="B103">
        <v>1</v>
      </c>
      <c r="D103">
        <v>9</v>
      </c>
      <c r="E103" t="s">
        <v>125</v>
      </c>
      <c r="F103" t="s">
        <v>126</v>
      </c>
      <c r="G103">
        <v>0</v>
      </c>
      <c r="H103">
        <v>0</v>
      </c>
      <c r="I103" t="s">
        <v>102</v>
      </c>
      <c r="J103">
        <v>0</v>
      </c>
      <c r="K103">
        <v>0</v>
      </c>
      <c r="L103" t="s">
        <v>6</v>
      </c>
      <c r="M103" t="s">
        <v>6</v>
      </c>
      <c r="N103">
        <v>0</v>
      </c>
      <c r="O103">
        <v>0</v>
      </c>
      <c r="P103" t="s">
        <v>127</v>
      </c>
      <c r="IF103">
        <v>-1</v>
      </c>
    </row>
    <row r="104" spans="1:240" x14ac:dyDescent="0.2">
      <c r="A104">
        <v>70</v>
      </c>
      <c r="B104">
        <v>1</v>
      </c>
      <c r="D104">
        <v>1</v>
      </c>
      <c r="E104" t="s">
        <v>128</v>
      </c>
      <c r="F104" t="s">
        <v>129</v>
      </c>
      <c r="G104">
        <v>1</v>
      </c>
      <c r="H104">
        <v>1</v>
      </c>
      <c r="I104" t="s">
        <v>102</v>
      </c>
      <c r="J104">
        <v>0</v>
      </c>
      <c r="K104">
        <v>0</v>
      </c>
      <c r="L104" t="s">
        <v>6</v>
      </c>
      <c r="M104" t="s">
        <v>6</v>
      </c>
      <c r="N104">
        <v>0</v>
      </c>
      <c r="O104">
        <v>1</v>
      </c>
      <c r="P104" t="s">
        <v>129</v>
      </c>
      <c r="IF104">
        <v>-1</v>
      </c>
    </row>
    <row r="105" spans="1:240" x14ac:dyDescent="0.2">
      <c r="A105">
        <v>70</v>
      </c>
      <c r="B105">
        <v>1</v>
      </c>
      <c r="D105">
        <v>2</v>
      </c>
      <c r="E105" t="s">
        <v>130</v>
      </c>
      <c r="F105" t="s">
        <v>131</v>
      </c>
      <c r="G105">
        <v>1</v>
      </c>
      <c r="H105">
        <v>1</v>
      </c>
      <c r="I105" t="s">
        <v>102</v>
      </c>
      <c r="J105">
        <v>0</v>
      </c>
      <c r="K105">
        <v>0</v>
      </c>
      <c r="L105" t="s">
        <v>6</v>
      </c>
      <c r="M105" t="s">
        <v>6</v>
      </c>
      <c r="N105">
        <v>0</v>
      </c>
      <c r="O105">
        <v>1</v>
      </c>
      <c r="P105" t="s">
        <v>131</v>
      </c>
      <c r="IF105">
        <v>-1</v>
      </c>
    </row>
    <row r="106" spans="1:240" x14ac:dyDescent="0.2">
      <c r="A106">
        <v>70</v>
      </c>
      <c r="B106">
        <v>1</v>
      </c>
      <c r="D106">
        <v>3</v>
      </c>
      <c r="E106" t="s">
        <v>132</v>
      </c>
      <c r="F106" t="s">
        <v>133</v>
      </c>
      <c r="G106">
        <v>1</v>
      </c>
      <c r="H106">
        <v>0</v>
      </c>
      <c r="I106" t="s">
        <v>102</v>
      </c>
      <c r="J106">
        <v>0</v>
      </c>
      <c r="K106">
        <v>0</v>
      </c>
      <c r="L106" t="s">
        <v>6</v>
      </c>
      <c r="M106" t="s">
        <v>6</v>
      </c>
      <c r="N106">
        <v>0</v>
      </c>
      <c r="O106">
        <v>1</v>
      </c>
      <c r="P106" t="s">
        <v>133</v>
      </c>
      <c r="IF106">
        <v>-1</v>
      </c>
    </row>
    <row r="107" spans="1:240" x14ac:dyDescent="0.2">
      <c r="A107">
        <v>70</v>
      </c>
      <c r="B107">
        <v>1</v>
      </c>
      <c r="D107">
        <v>4</v>
      </c>
      <c r="E107" t="s">
        <v>134</v>
      </c>
      <c r="F107" t="s">
        <v>135</v>
      </c>
      <c r="G107">
        <v>1</v>
      </c>
      <c r="H107">
        <v>0</v>
      </c>
      <c r="I107" t="s">
        <v>102</v>
      </c>
      <c r="J107">
        <v>0</v>
      </c>
      <c r="K107">
        <v>0</v>
      </c>
      <c r="L107" t="s">
        <v>6</v>
      </c>
      <c r="M107" t="s">
        <v>6</v>
      </c>
      <c r="N107">
        <v>0</v>
      </c>
      <c r="O107">
        <v>1</v>
      </c>
      <c r="P107" t="s">
        <v>135</v>
      </c>
      <c r="IF107">
        <v>-1</v>
      </c>
    </row>
    <row r="108" spans="1:240" x14ac:dyDescent="0.2">
      <c r="A108">
        <v>70</v>
      </c>
      <c r="B108">
        <v>1</v>
      </c>
      <c r="D108">
        <v>5</v>
      </c>
      <c r="E108" t="s">
        <v>136</v>
      </c>
      <c r="F108" t="s">
        <v>137</v>
      </c>
      <c r="G108">
        <v>1</v>
      </c>
      <c r="H108">
        <v>0</v>
      </c>
      <c r="I108" t="s">
        <v>102</v>
      </c>
      <c r="J108">
        <v>0</v>
      </c>
      <c r="K108">
        <v>0</v>
      </c>
      <c r="L108" t="s">
        <v>6</v>
      </c>
      <c r="M108" t="s">
        <v>6</v>
      </c>
      <c r="N108">
        <v>0</v>
      </c>
      <c r="O108">
        <v>0.85</v>
      </c>
      <c r="P108" t="s">
        <v>137</v>
      </c>
      <c r="IF108">
        <v>-1</v>
      </c>
    </row>
    <row r="109" spans="1:240" x14ac:dyDescent="0.2">
      <c r="A109">
        <v>70</v>
      </c>
      <c r="B109">
        <v>1</v>
      </c>
      <c r="D109">
        <v>6</v>
      </c>
      <c r="E109" t="s">
        <v>138</v>
      </c>
      <c r="F109" t="s">
        <v>139</v>
      </c>
      <c r="G109">
        <v>1</v>
      </c>
      <c r="H109">
        <v>0</v>
      </c>
      <c r="I109" t="s">
        <v>102</v>
      </c>
      <c r="J109">
        <v>0</v>
      </c>
      <c r="K109">
        <v>0</v>
      </c>
      <c r="L109" t="s">
        <v>6</v>
      </c>
      <c r="M109" t="s">
        <v>6</v>
      </c>
      <c r="N109">
        <v>0</v>
      </c>
      <c r="O109">
        <v>0.8</v>
      </c>
      <c r="P109" t="s">
        <v>139</v>
      </c>
      <c r="IF109">
        <v>-1</v>
      </c>
    </row>
    <row r="110" spans="1:240" x14ac:dyDescent="0.2">
      <c r="A110">
        <v>70</v>
      </c>
      <c r="B110">
        <v>1</v>
      </c>
      <c r="D110">
        <v>7</v>
      </c>
      <c r="E110" t="s">
        <v>140</v>
      </c>
      <c r="F110" t="s">
        <v>141</v>
      </c>
      <c r="G110">
        <v>1</v>
      </c>
      <c r="H110">
        <v>0</v>
      </c>
      <c r="I110" t="s">
        <v>102</v>
      </c>
      <c r="J110">
        <v>0</v>
      </c>
      <c r="K110">
        <v>0</v>
      </c>
      <c r="L110" t="s">
        <v>6</v>
      </c>
      <c r="M110" t="s">
        <v>6</v>
      </c>
      <c r="N110">
        <v>0</v>
      </c>
      <c r="O110">
        <v>1</v>
      </c>
      <c r="P110" t="s">
        <v>141</v>
      </c>
      <c r="IF110">
        <v>-1</v>
      </c>
    </row>
    <row r="111" spans="1:240" x14ac:dyDescent="0.2">
      <c r="A111">
        <v>70</v>
      </c>
      <c r="B111">
        <v>1</v>
      </c>
      <c r="D111">
        <v>8</v>
      </c>
      <c r="E111" t="s">
        <v>142</v>
      </c>
      <c r="F111" t="s">
        <v>143</v>
      </c>
      <c r="G111">
        <v>1</v>
      </c>
      <c r="H111">
        <v>0.8</v>
      </c>
      <c r="I111" t="s">
        <v>102</v>
      </c>
      <c r="J111">
        <v>0</v>
      </c>
      <c r="K111">
        <v>0</v>
      </c>
      <c r="L111" t="s">
        <v>6</v>
      </c>
      <c r="M111" t="s">
        <v>6</v>
      </c>
      <c r="N111">
        <v>0</v>
      </c>
      <c r="O111">
        <v>1</v>
      </c>
      <c r="P111" t="s">
        <v>143</v>
      </c>
      <c r="IF111">
        <v>-1</v>
      </c>
    </row>
    <row r="112" spans="1:240" x14ac:dyDescent="0.2">
      <c r="A112">
        <v>70</v>
      </c>
      <c r="B112">
        <v>1</v>
      </c>
      <c r="D112">
        <v>9</v>
      </c>
      <c r="E112" t="s">
        <v>144</v>
      </c>
      <c r="F112" t="s">
        <v>145</v>
      </c>
      <c r="G112">
        <v>1</v>
      </c>
      <c r="H112">
        <v>0.85</v>
      </c>
      <c r="I112" t="s">
        <v>102</v>
      </c>
      <c r="J112">
        <v>0</v>
      </c>
      <c r="K112">
        <v>0</v>
      </c>
      <c r="L112" t="s">
        <v>6</v>
      </c>
      <c r="M112" t="s">
        <v>6</v>
      </c>
      <c r="N112">
        <v>0</v>
      </c>
      <c r="O112">
        <v>1</v>
      </c>
      <c r="P112" t="s">
        <v>145</v>
      </c>
      <c r="IF112">
        <v>-1</v>
      </c>
    </row>
    <row r="113" spans="1:240" x14ac:dyDescent="0.2">
      <c r="A113">
        <v>70</v>
      </c>
      <c r="B113">
        <v>1</v>
      </c>
      <c r="D113">
        <v>10</v>
      </c>
      <c r="E113" t="s">
        <v>146</v>
      </c>
      <c r="F113" t="s">
        <v>147</v>
      </c>
      <c r="G113">
        <v>1</v>
      </c>
      <c r="H113">
        <v>0</v>
      </c>
      <c r="I113" t="s">
        <v>102</v>
      </c>
      <c r="J113">
        <v>0</v>
      </c>
      <c r="K113">
        <v>0</v>
      </c>
      <c r="L113" t="s">
        <v>6</v>
      </c>
      <c r="M113" t="s">
        <v>6</v>
      </c>
      <c r="N113">
        <v>0</v>
      </c>
      <c r="O113">
        <v>1</v>
      </c>
      <c r="P113" t="s">
        <v>147</v>
      </c>
      <c r="IF113">
        <v>-1</v>
      </c>
    </row>
    <row r="114" spans="1:240" x14ac:dyDescent="0.2">
      <c r="A114">
        <v>70</v>
      </c>
      <c r="B114">
        <v>1</v>
      </c>
      <c r="D114">
        <v>11</v>
      </c>
      <c r="E114" t="s">
        <v>148</v>
      </c>
      <c r="F114" t="s">
        <v>149</v>
      </c>
      <c r="G114">
        <v>0.7</v>
      </c>
      <c r="H114">
        <v>0</v>
      </c>
      <c r="I114" t="s">
        <v>102</v>
      </c>
      <c r="J114">
        <v>0</v>
      </c>
      <c r="K114">
        <v>0</v>
      </c>
      <c r="L114" t="s">
        <v>6</v>
      </c>
      <c r="M114" t="s">
        <v>6</v>
      </c>
      <c r="N114">
        <v>0</v>
      </c>
      <c r="O114">
        <v>0.94</v>
      </c>
      <c r="P114" t="s">
        <v>149</v>
      </c>
      <c r="IF114">
        <v>-1</v>
      </c>
    </row>
    <row r="115" spans="1:240" x14ac:dyDescent="0.2">
      <c r="A115">
        <v>70</v>
      </c>
      <c r="B115">
        <v>1</v>
      </c>
      <c r="D115">
        <v>12</v>
      </c>
      <c r="E115" t="s">
        <v>150</v>
      </c>
      <c r="F115" t="s">
        <v>151</v>
      </c>
      <c r="G115">
        <v>0.9</v>
      </c>
      <c r="H115">
        <v>0</v>
      </c>
      <c r="I115" t="s">
        <v>102</v>
      </c>
      <c r="J115">
        <v>0</v>
      </c>
      <c r="K115">
        <v>0</v>
      </c>
      <c r="L115" t="s">
        <v>6</v>
      </c>
      <c r="M115" t="s">
        <v>6</v>
      </c>
      <c r="N115">
        <v>0</v>
      </c>
      <c r="O115">
        <v>0.9</v>
      </c>
      <c r="P115" t="s">
        <v>151</v>
      </c>
      <c r="IF115">
        <v>-1</v>
      </c>
    </row>
    <row r="116" spans="1:240" x14ac:dyDescent="0.2">
      <c r="A116">
        <v>70</v>
      </c>
      <c r="B116">
        <v>1</v>
      </c>
      <c r="D116">
        <v>13</v>
      </c>
      <c r="E116" t="s">
        <v>152</v>
      </c>
      <c r="F116" t="s">
        <v>153</v>
      </c>
      <c r="G116">
        <v>0.6</v>
      </c>
      <c r="H116">
        <v>0</v>
      </c>
      <c r="I116" t="s">
        <v>102</v>
      </c>
      <c r="J116">
        <v>0</v>
      </c>
      <c r="K116">
        <v>0</v>
      </c>
      <c r="L116" t="s">
        <v>6</v>
      </c>
      <c r="M116" t="s">
        <v>6</v>
      </c>
      <c r="N116">
        <v>0</v>
      </c>
      <c r="O116">
        <v>0.6</v>
      </c>
      <c r="P116" t="s">
        <v>153</v>
      </c>
      <c r="IF116">
        <v>-1</v>
      </c>
    </row>
    <row r="117" spans="1:240" x14ac:dyDescent="0.2">
      <c r="A117">
        <v>70</v>
      </c>
      <c r="B117">
        <v>1</v>
      </c>
      <c r="D117">
        <v>14</v>
      </c>
      <c r="E117" t="s">
        <v>154</v>
      </c>
      <c r="F117" t="s">
        <v>155</v>
      </c>
      <c r="G117">
        <v>1</v>
      </c>
      <c r="H117">
        <v>0</v>
      </c>
      <c r="I117" t="s">
        <v>102</v>
      </c>
      <c r="J117">
        <v>0</v>
      </c>
      <c r="K117">
        <v>0</v>
      </c>
      <c r="L117" t="s">
        <v>6</v>
      </c>
      <c r="M117" t="s">
        <v>6</v>
      </c>
      <c r="N117">
        <v>0</v>
      </c>
      <c r="O117">
        <v>1</v>
      </c>
      <c r="P117" t="s">
        <v>155</v>
      </c>
      <c r="IF117">
        <v>-1</v>
      </c>
    </row>
    <row r="118" spans="1:240" x14ac:dyDescent="0.2">
      <c r="A118">
        <v>70</v>
      </c>
      <c r="B118">
        <v>1</v>
      </c>
      <c r="D118">
        <v>15</v>
      </c>
      <c r="E118" t="s">
        <v>156</v>
      </c>
      <c r="F118" t="s">
        <v>157</v>
      </c>
      <c r="G118">
        <v>1.2</v>
      </c>
      <c r="H118">
        <v>0</v>
      </c>
      <c r="I118" t="s">
        <v>102</v>
      </c>
      <c r="J118">
        <v>0</v>
      </c>
      <c r="K118">
        <v>0</v>
      </c>
      <c r="L118" t="s">
        <v>6</v>
      </c>
      <c r="M118" t="s">
        <v>6</v>
      </c>
      <c r="N118">
        <v>0</v>
      </c>
      <c r="O118">
        <v>1.2</v>
      </c>
      <c r="P118" t="s">
        <v>157</v>
      </c>
      <c r="IF118">
        <v>-1</v>
      </c>
    </row>
    <row r="119" spans="1:240" x14ac:dyDescent="0.2">
      <c r="A119">
        <v>70</v>
      </c>
      <c r="B119">
        <v>1</v>
      </c>
      <c r="D119">
        <v>16</v>
      </c>
      <c r="E119" t="s">
        <v>158</v>
      </c>
      <c r="F119" t="s">
        <v>159</v>
      </c>
      <c r="G119">
        <v>1</v>
      </c>
      <c r="H119">
        <v>0</v>
      </c>
      <c r="I119" t="s">
        <v>102</v>
      </c>
      <c r="J119">
        <v>0</v>
      </c>
      <c r="K119">
        <v>0</v>
      </c>
      <c r="L119" t="s">
        <v>6</v>
      </c>
      <c r="M119" t="s">
        <v>6</v>
      </c>
      <c r="N119">
        <v>0</v>
      </c>
      <c r="O119">
        <v>1</v>
      </c>
      <c r="P119" t="s">
        <v>159</v>
      </c>
      <c r="IF119">
        <v>-1</v>
      </c>
    </row>
    <row r="120" spans="1:240" x14ac:dyDescent="0.2">
      <c r="A120">
        <v>70</v>
      </c>
      <c r="B120">
        <v>1</v>
      </c>
      <c r="D120">
        <v>17</v>
      </c>
      <c r="E120" t="s">
        <v>160</v>
      </c>
      <c r="F120" t="s">
        <v>161</v>
      </c>
      <c r="G120">
        <v>1</v>
      </c>
      <c r="H120">
        <v>0</v>
      </c>
      <c r="I120" t="s">
        <v>102</v>
      </c>
      <c r="J120">
        <v>0</v>
      </c>
      <c r="K120">
        <v>0</v>
      </c>
      <c r="L120" t="s">
        <v>6</v>
      </c>
      <c r="M120" t="s">
        <v>6</v>
      </c>
      <c r="N120">
        <v>0</v>
      </c>
      <c r="O120">
        <v>1</v>
      </c>
      <c r="P120" t="s">
        <v>161</v>
      </c>
      <c r="IF120">
        <v>-1</v>
      </c>
    </row>
    <row r="121" spans="1:240" x14ac:dyDescent="0.2">
      <c r="A121">
        <v>70</v>
      </c>
      <c r="B121">
        <v>1</v>
      </c>
      <c r="D121">
        <v>18</v>
      </c>
      <c r="E121" t="s">
        <v>162</v>
      </c>
      <c r="F121" t="s">
        <v>163</v>
      </c>
      <c r="G121">
        <v>1</v>
      </c>
      <c r="H121">
        <v>0</v>
      </c>
      <c r="I121" t="s">
        <v>102</v>
      </c>
      <c r="J121">
        <v>0</v>
      </c>
      <c r="K121">
        <v>0</v>
      </c>
      <c r="L121" t="s">
        <v>6</v>
      </c>
      <c r="M121" t="s">
        <v>6</v>
      </c>
      <c r="N121">
        <v>0</v>
      </c>
      <c r="O121">
        <v>1</v>
      </c>
      <c r="P121" t="s">
        <v>163</v>
      </c>
      <c r="IF121">
        <v>-1</v>
      </c>
    </row>
    <row r="122" spans="1:240" x14ac:dyDescent="0.2">
      <c r="A122">
        <v>70</v>
      </c>
      <c r="B122">
        <v>1</v>
      </c>
      <c r="D122">
        <v>19</v>
      </c>
      <c r="E122" t="s">
        <v>164</v>
      </c>
      <c r="F122" t="s">
        <v>161</v>
      </c>
      <c r="G122">
        <v>1</v>
      </c>
      <c r="H122">
        <v>0</v>
      </c>
      <c r="I122" t="s">
        <v>102</v>
      </c>
      <c r="J122">
        <v>0</v>
      </c>
      <c r="K122">
        <v>0</v>
      </c>
      <c r="L122" t="s">
        <v>6</v>
      </c>
      <c r="M122" t="s">
        <v>6</v>
      </c>
      <c r="N122">
        <v>0</v>
      </c>
      <c r="O122">
        <v>1</v>
      </c>
      <c r="P122" t="s">
        <v>161</v>
      </c>
      <c r="IF122">
        <v>-1</v>
      </c>
    </row>
    <row r="123" spans="1:240" x14ac:dyDescent="0.2">
      <c r="A123">
        <v>70</v>
      </c>
      <c r="B123">
        <v>1</v>
      </c>
      <c r="D123">
        <v>20</v>
      </c>
      <c r="E123" t="s">
        <v>165</v>
      </c>
      <c r="F123" t="s">
        <v>163</v>
      </c>
      <c r="G123">
        <v>1</v>
      </c>
      <c r="H123">
        <v>0</v>
      </c>
      <c r="I123" t="s">
        <v>102</v>
      </c>
      <c r="J123">
        <v>0</v>
      </c>
      <c r="K123">
        <v>0</v>
      </c>
      <c r="L123" t="s">
        <v>6</v>
      </c>
      <c r="M123" t="s">
        <v>6</v>
      </c>
      <c r="N123">
        <v>0</v>
      </c>
      <c r="O123">
        <v>1</v>
      </c>
      <c r="P123" t="s">
        <v>163</v>
      </c>
      <c r="IF123">
        <v>-1</v>
      </c>
    </row>
    <row r="124" spans="1:240" x14ac:dyDescent="0.2">
      <c r="A124">
        <v>70</v>
      </c>
      <c r="B124">
        <v>1</v>
      </c>
      <c r="D124">
        <v>21</v>
      </c>
      <c r="E124" t="s">
        <v>166</v>
      </c>
      <c r="F124" t="s">
        <v>167</v>
      </c>
      <c r="G124">
        <v>0</v>
      </c>
      <c r="H124">
        <v>0</v>
      </c>
      <c r="I124" t="s">
        <v>102</v>
      </c>
      <c r="J124">
        <v>0</v>
      </c>
      <c r="K124">
        <v>0</v>
      </c>
      <c r="L124" t="s">
        <v>6</v>
      </c>
      <c r="M124" t="s">
        <v>6</v>
      </c>
      <c r="N124">
        <v>0</v>
      </c>
      <c r="O124">
        <v>0</v>
      </c>
      <c r="P124" t="s">
        <v>167</v>
      </c>
      <c r="IF124">
        <v>-1</v>
      </c>
    </row>
    <row r="125" spans="1:240" x14ac:dyDescent="0.2">
      <c r="IF125">
        <v>-1</v>
      </c>
    </row>
    <row r="126" spans="1:240" x14ac:dyDescent="0.2">
      <c r="A126">
        <v>-1</v>
      </c>
      <c r="IF126">
        <v>-1</v>
      </c>
    </row>
    <row r="127" spans="1:240" x14ac:dyDescent="0.2">
      <c r="IF127">
        <v>-1</v>
      </c>
    </row>
    <row r="128" spans="1:240" x14ac:dyDescent="0.2">
      <c r="A128" s="4">
        <v>75</v>
      </c>
      <c r="B128" s="4" t="s">
        <v>168</v>
      </c>
      <c r="C128" s="4">
        <v>2000</v>
      </c>
      <c r="D128" s="4">
        <v>0</v>
      </c>
      <c r="E128" s="4">
        <v>1</v>
      </c>
      <c r="F128" s="4"/>
      <c r="G128" s="4">
        <v>0</v>
      </c>
      <c r="H128" s="4">
        <v>1</v>
      </c>
      <c r="I128" s="4">
        <v>0</v>
      </c>
      <c r="J128" s="4">
        <v>4</v>
      </c>
      <c r="K128" s="4">
        <v>0</v>
      </c>
      <c r="L128" s="4">
        <v>0</v>
      </c>
      <c r="M128" s="4">
        <v>0</v>
      </c>
      <c r="N128" s="4">
        <v>62803415</v>
      </c>
      <c r="O128" s="4">
        <v>1</v>
      </c>
      <c r="IF128">
        <v>-1</v>
      </c>
    </row>
    <row r="129" spans="1:240" x14ac:dyDescent="0.2">
      <c r="A129" s="4">
        <v>75</v>
      </c>
      <c r="B129" s="4" t="s">
        <v>169</v>
      </c>
      <c r="C129" s="4">
        <v>2023</v>
      </c>
      <c r="D129" s="4">
        <v>1</v>
      </c>
      <c r="E129" s="4">
        <v>0</v>
      </c>
      <c r="F129" s="4"/>
      <c r="G129" s="4">
        <v>0</v>
      </c>
      <c r="H129" s="4">
        <v>2</v>
      </c>
      <c r="I129" s="4">
        <v>0</v>
      </c>
      <c r="J129" s="4">
        <v>3</v>
      </c>
      <c r="K129" s="4">
        <v>0</v>
      </c>
      <c r="L129" s="4">
        <v>0</v>
      </c>
      <c r="M129" s="4">
        <v>1</v>
      </c>
      <c r="N129" s="4">
        <v>62803416</v>
      </c>
      <c r="O129" s="4">
        <v>2</v>
      </c>
      <c r="IF129">
        <v>-1</v>
      </c>
    </row>
    <row r="130" spans="1:240" x14ac:dyDescent="0.2">
      <c r="A130" s="6">
        <v>1</v>
      </c>
      <c r="B130" s="6" t="s">
        <v>170</v>
      </c>
      <c r="C130" s="6" t="s">
        <v>171</v>
      </c>
      <c r="D130" s="6">
        <v>2023</v>
      </c>
      <c r="E130" s="6">
        <v>3</v>
      </c>
      <c r="F130" s="6">
        <v>1</v>
      </c>
      <c r="G130" s="6">
        <v>1</v>
      </c>
      <c r="H130" s="6">
        <v>0</v>
      </c>
      <c r="I130" s="6">
        <v>2</v>
      </c>
      <c r="J130" s="6">
        <v>1</v>
      </c>
      <c r="K130" s="6">
        <v>7.56</v>
      </c>
      <c r="L130" s="6">
        <v>4.83</v>
      </c>
      <c r="M130" s="6">
        <v>1</v>
      </c>
      <c r="N130" s="6">
        <v>1</v>
      </c>
      <c r="O130" s="6">
        <v>7.56</v>
      </c>
      <c r="P130" s="6">
        <v>4.83</v>
      </c>
      <c r="Q130" s="6">
        <v>1</v>
      </c>
      <c r="R130" s="6" t="s">
        <v>6</v>
      </c>
      <c r="S130" s="6" t="s">
        <v>6</v>
      </c>
      <c r="T130" s="6" t="s">
        <v>6</v>
      </c>
      <c r="U130" s="6" t="s">
        <v>6</v>
      </c>
      <c r="V130" s="6" t="s">
        <v>6</v>
      </c>
      <c r="W130" s="6" t="s">
        <v>6</v>
      </c>
      <c r="X130" s="6" t="s">
        <v>6</v>
      </c>
      <c r="Y130" s="6" t="s">
        <v>6</v>
      </c>
      <c r="Z130" s="6" t="s">
        <v>6</v>
      </c>
      <c r="AA130" s="6" t="s">
        <v>6</v>
      </c>
      <c r="AB130" s="6"/>
      <c r="AC130" s="6"/>
      <c r="AD130" s="6"/>
      <c r="AE130" s="6"/>
      <c r="AF130" s="6"/>
      <c r="AG130" s="6"/>
      <c r="AH130" s="6"/>
      <c r="AI130" s="6"/>
      <c r="AJ130" s="6"/>
      <c r="AK130" s="6"/>
      <c r="AL130" s="6"/>
      <c r="AM130" s="6"/>
      <c r="AN130" s="6">
        <v>62803417</v>
      </c>
      <c r="IF130">
        <v>-1</v>
      </c>
    </row>
    <row r="131" spans="1:240" x14ac:dyDescent="0.2">
      <c r="IF131">
        <v>-1</v>
      </c>
    </row>
    <row r="132" spans="1:240" x14ac:dyDescent="0.2">
      <c r="IF132">
        <v>-1</v>
      </c>
    </row>
    <row r="133" spans="1:240" x14ac:dyDescent="0.2">
      <c r="IF133">
        <v>-1</v>
      </c>
    </row>
    <row r="134" spans="1:240" x14ac:dyDescent="0.2">
      <c r="A134">
        <v>65</v>
      </c>
      <c r="C134">
        <v>1</v>
      </c>
      <c r="D134">
        <v>0</v>
      </c>
      <c r="E134">
        <v>245</v>
      </c>
      <c r="IF134">
        <v>-1</v>
      </c>
    </row>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172</v>
      </c>
      <c r="F1">
        <v>0</v>
      </c>
      <c r="G1">
        <v>0</v>
      </c>
      <c r="H1">
        <v>0</v>
      </c>
      <c r="I1" t="s">
        <v>2</v>
      </c>
      <c r="J1" t="s">
        <v>3</v>
      </c>
      <c r="K1">
        <v>1</v>
      </c>
      <c r="L1">
        <v>25077</v>
      </c>
      <c r="M1">
        <v>17628643</v>
      </c>
      <c r="N1">
        <v>11</v>
      </c>
      <c r="O1">
        <v>5</v>
      </c>
      <c r="P1">
        <v>3</v>
      </c>
      <c r="Q1">
        <v>2</v>
      </c>
    </row>
    <row r="4" spans="1:133"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row>
    <row r="12" spans="1:133" x14ac:dyDescent="0.2">
      <c r="A12" s="1">
        <v>1</v>
      </c>
      <c r="B12" s="1">
        <v>51</v>
      </c>
      <c r="C12" s="1">
        <v>0</v>
      </c>
      <c r="D12" s="1"/>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62803415</v>
      </c>
      <c r="E14" s="1">
        <v>62803416</v>
      </c>
      <c r="F14" s="1">
        <v>2</v>
      </c>
      <c r="G14" s="1">
        <v>1</v>
      </c>
      <c r="H14" s="1"/>
      <c r="I14" s="1"/>
      <c r="J14" s="1"/>
      <c r="K14" s="1"/>
      <c r="L14" s="1"/>
      <c r="M14" s="1"/>
      <c r="N14" s="1"/>
      <c r="O14" s="1"/>
    </row>
    <row r="16" spans="1:133" x14ac:dyDescent="0.2">
      <c r="A16" s="7">
        <v>3</v>
      </c>
      <c r="B16" s="7">
        <v>0</v>
      </c>
      <c r="C16" s="7" t="s">
        <v>14</v>
      </c>
      <c r="D16" s="7" t="s">
        <v>15</v>
      </c>
      <c r="E16" s="8">
        <f>ROUND((Source!F51)/1000,2)</f>
        <v>34.54</v>
      </c>
      <c r="F16" s="8">
        <f>ROUND((Source!F52)/1000,2)</f>
        <v>0</v>
      </c>
      <c r="G16" s="8">
        <f>ROUND((Source!F43)/1000,2)</f>
        <v>0</v>
      </c>
      <c r="H16" s="8">
        <f>ROUND((Source!F53)/1000+(Source!F54)/1000,2)</f>
        <v>0</v>
      </c>
      <c r="I16" s="8">
        <f>E16+F16+G16+H16</f>
        <v>34.54</v>
      </c>
      <c r="J16" s="8">
        <f>ROUND((Source!F49+Source!F48)/1000,2)</f>
        <v>3.49</v>
      </c>
      <c r="T16" s="9">
        <f>ROUND((Source!P51)/1000,2)</f>
        <v>340.11</v>
      </c>
      <c r="U16" s="9">
        <f>ROUND((Source!P52)/1000,2)</f>
        <v>0</v>
      </c>
      <c r="V16" s="9">
        <f>ROUND((Source!P43)/1000,2)</f>
        <v>0</v>
      </c>
      <c r="W16" s="9">
        <f>ROUND((Source!P53)/1000+(Source!P54)/1000,2)</f>
        <v>0</v>
      </c>
      <c r="X16" s="9">
        <f>T16+U16+V16+W16</f>
        <v>340.11</v>
      </c>
      <c r="Y16" s="9">
        <f>ROUND((Source!P49+Source!P48)/1000,2)</f>
        <v>79.349999999999994</v>
      </c>
      <c r="AI16" s="7">
        <v>0</v>
      </c>
      <c r="AJ16" s="7">
        <v>-1</v>
      </c>
      <c r="AK16" s="7" t="s">
        <v>6</v>
      </c>
      <c r="AL16" s="7" t="s">
        <v>6</v>
      </c>
      <c r="AM16" s="7" t="s">
        <v>6</v>
      </c>
      <c r="AN16" s="7">
        <v>0</v>
      </c>
      <c r="AO16" s="7" t="s">
        <v>6</v>
      </c>
      <c r="AP16" s="7" t="s">
        <v>6</v>
      </c>
      <c r="AT16" s="8">
        <v>29890</v>
      </c>
      <c r="AU16" s="8">
        <v>0</v>
      </c>
      <c r="AV16" s="8">
        <v>0</v>
      </c>
      <c r="AW16" s="8">
        <v>0</v>
      </c>
      <c r="AX16" s="8">
        <v>0</v>
      </c>
      <c r="AY16" s="8">
        <v>27701</v>
      </c>
      <c r="AZ16" s="8">
        <v>1304</v>
      </c>
      <c r="BA16" s="8">
        <v>2189</v>
      </c>
      <c r="BB16" s="8">
        <v>34537</v>
      </c>
      <c r="BC16" s="8">
        <v>0</v>
      </c>
      <c r="BD16" s="8">
        <v>0</v>
      </c>
      <c r="BE16" s="8">
        <v>0</v>
      </c>
      <c r="BF16" s="8">
        <v>278.182635</v>
      </c>
      <c r="BG16" s="8">
        <v>95.796950999999993</v>
      </c>
      <c r="BH16" s="8">
        <v>0</v>
      </c>
      <c r="BI16" s="8">
        <v>3004</v>
      </c>
      <c r="BJ16" s="8">
        <v>1643</v>
      </c>
      <c r="BK16" s="8">
        <v>34537</v>
      </c>
      <c r="BR16" s="9">
        <v>244662</v>
      </c>
      <c r="BS16" s="9">
        <v>0</v>
      </c>
      <c r="BT16" s="9">
        <v>0</v>
      </c>
      <c r="BU16" s="9">
        <v>0</v>
      </c>
      <c r="BV16" s="9">
        <v>0</v>
      </c>
      <c r="BW16" s="9">
        <v>189207</v>
      </c>
      <c r="BX16" s="9">
        <v>23899</v>
      </c>
      <c r="BY16" s="9">
        <v>55455</v>
      </c>
      <c r="BZ16" s="9">
        <v>340109</v>
      </c>
      <c r="CA16" s="9">
        <v>0</v>
      </c>
      <c r="CB16" s="9">
        <v>0</v>
      </c>
      <c r="CC16" s="9">
        <v>0</v>
      </c>
      <c r="CD16" s="9">
        <v>278.182635</v>
      </c>
      <c r="CE16" s="9">
        <v>95.796950999999993</v>
      </c>
      <c r="CF16" s="9">
        <v>0</v>
      </c>
      <c r="CG16" s="9">
        <v>63981</v>
      </c>
      <c r="CH16" s="9">
        <v>31466</v>
      </c>
      <c r="CI16" s="9">
        <v>340109</v>
      </c>
    </row>
    <row r="18" spans="1:40" x14ac:dyDescent="0.2">
      <c r="A18">
        <v>51</v>
      </c>
      <c r="E18" s="10">
        <f>SUMIF(A16:A17,3,E16:E17)</f>
        <v>34.54</v>
      </c>
      <c r="F18" s="10">
        <f>SUMIF(A16:A17,3,F16:F17)</f>
        <v>0</v>
      </c>
      <c r="G18" s="10">
        <f>SUMIF(A16:A17,3,G16:G17)</f>
        <v>0</v>
      </c>
      <c r="H18" s="10">
        <f>SUMIF(A16:A17,3,H16:H17)</f>
        <v>0</v>
      </c>
      <c r="I18" s="10">
        <f>SUMIF(A16:A17,3,I16:I17)</f>
        <v>34.54</v>
      </c>
      <c r="J18" s="10">
        <f>SUMIF(A16:A17,3,J16:J17)</f>
        <v>3.49</v>
      </c>
      <c r="K18" s="10"/>
      <c r="L18" s="10"/>
      <c r="M18" s="10"/>
      <c r="N18" s="10"/>
      <c r="O18" s="10"/>
      <c r="P18" s="10"/>
      <c r="Q18" s="10"/>
      <c r="R18" s="10"/>
      <c r="S18" s="10"/>
      <c r="T18" s="3">
        <f>SUMIF(A16:A17,3,T16:T17)</f>
        <v>340.11</v>
      </c>
      <c r="U18" s="3">
        <f>SUMIF(A16:A17,3,U16:U17)</f>
        <v>0</v>
      </c>
      <c r="V18" s="3">
        <f>SUMIF(A16:A17,3,V16:V17)</f>
        <v>0</v>
      </c>
      <c r="W18" s="3">
        <f>SUMIF(A16:A17,3,W16:W17)</f>
        <v>0</v>
      </c>
      <c r="X18" s="3">
        <f>SUMIF(A16:A17,3,X16:X17)</f>
        <v>340.11</v>
      </c>
      <c r="Y18" s="3">
        <f>SUMIF(A16:A17,3,Y16:Y17)</f>
        <v>79.349999999999994</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29890</v>
      </c>
      <c r="G20" s="5" t="s">
        <v>46</v>
      </c>
      <c r="H20" s="5" t="s">
        <v>47</v>
      </c>
      <c r="I20" s="5"/>
      <c r="J20" s="5"/>
      <c r="K20" s="5">
        <v>201</v>
      </c>
      <c r="L20" s="5">
        <v>1</v>
      </c>
      <c r="M20" s="5">
        <v>3</v>
      </c>
      <c r="N20" s="5" t="s">
        <v>6</v>
      </c>
      <c r="O20" s="5">
        <v>0</v>
      </c>
      <c r="P20" s="5">
        <v>244662</v>
      </c>
    </row>
    <row r="21" spans="1:40" x14ac:dyDescent="0.2">
      <c r="A21" s="5">
        <v>50</v>
      </c>
      <c r="B21" s="5">
        <v>0</v>
      </c>
      <c r="C21" s="5">
        <v>0</v>
      </c>
      <c r="D21" s="5">
        <v>1</v>
      </c>
      <c r="E21" s="5">
        <v>202</v>
      </c>
      <c r="F21" s="5">
        <v>0</v>
      </c>
      <c r="G21" s="5" t="s">
        <v>48</v>
      </c>
      <c r="H21" s="5" t="s">
        <v>49</v>
      </c>
      <c r="I21" s="5"/>
      <c r="J21" s="5"/>
      <c r="K21" s="5">
        <v>202</v>
      </c>
      <c r="L21" s="5">
        <v>2</v>
      </c>
      <c r="M21" s="5">
        <v>3</v>
      </c>
      <c r="N21" s="5" t="s">
        <v>6</v>
      </c>
      <c r="O21" s="5">
        <v>0</v>
      </c>
      <c r="P21" s="5">
        <v>0</v>
      </c>
    </row>
    <row r="22" spans="1:40" x14ac:dyDescent="0.2">
      <c r="A22" s="5">
        <v>50</v>
      </c>
      <c r="B22" s="5">
        <v>0</v>
      </c>
      <c r="C22" s="5">
        <v>0</v>
      </c>
      <c r="D22" s="5">
        <v>1</v>
      </c>
      <c r="E22" s="5">
        <v>222</v>
      </c>
      <c r="F22" s="5">
        <v>0</v>
      </c>
      <c r="G22" s="5" t="s">
        <v>50</v>
      </c>
      <c r="H22" s="5" t="s">
        <v>51</v>
      </c>
      <c r="I22" s="5"/>
      <c r="J22" s="5"/>
      <c r="K22" s="5">
        <v>222</v>
      </c>
      <c r="L22" s="5">
        <v>3</v>
      </c>
      <c r="M22" s="5">
        <v>3</v>
      </c>
      <c r="N22" s="5" t="s">
        <v>6</v>
      </c>
      <c r="O22" s="5">
        <v>0</v>
      </c>
      <c r="P22" s="5">
        <v>0</v>
      </c>
    </row>
    <row r="23" spans="1:40" x14ac:dyDescent="0.2">
      <c r="A23" s="5">
        <v>50</v>
      </c>
      <c r="B23" s="5">
        <v>0</v>
      </c>
      <c r="C23" s="5">
        <v>0</v>
      </c>
      <c r="D23" s="5">
        <v>1</v>
      </c>
      <c r="E23" s="5">
        <v>225</v>
      </c>
      <c r="F23" s="5">
        <v>0</v>
      </c>
      <c r="G23" s="5" t="s">
        <v>52</v>
      </c>
      <c r="H23" s="5" t="s">
        <v>53</v>
      </c>
      <c r="I23" s="5"/>
      <c r="J23" s="5"/>
      <c r="K23" s="5">
        <v>225</v>
      </c>
      <c r="L23" s="5">
        <v>4</v>
      </c>
      <c r="M23" s="5">
        <v>3</v>
      </c>
      <c r="N23" s="5" t="s">
        <v>6</v>
      </c>
      <c r="O23" s="5">
        <v>0</v>
      </c>
      <c r="P23" s="5">
        <v>0</v>
      </c>
    </row>
    <row r="24" spans="1:40" x14ac:dyDescent="0.2">
      <c r="A24" s="5">
        <v>50</v>
      </c>
      <c r="B24" s="5">
        <v>0</v>
      </c>
      <c r="C24" s="5">
        <v>0</v>
      </c>
      <c r="D24" s="5">
        <v>1</v>
      </c>
      <c r="E24" s="5">
        <v>226</v>
      </c>
      <c r="F24" s="5">
        <v>0</v>
      </c>
      <c r="G24" s="5" t="s">
        <v>54</v>
      </c>
      <c r="H24" s="5" t="s">
        <v>55</v>
      </c>
      <c r="I24" s="5"/>
      <c r="J24" s="5"/>
      <c r="K24" s="5">
        <v>226</v>
      </c>
      <c r="L24" s="5">
        <v>5</v>
      </c>
      <c r="M24" s="5">
        <v>3</v>
      </c>
      <c r="N24" s="5" t="s">
        <v>6</v>
      </c>
      <c r="O24" s="5">
        <v>0</v>
      </c>
      <c r="P24" s="5">
        <v>0</v>
      </c>
    </row>
    <row r="25" spans="1:40" x14ac:dyDescent="0.2">
      <c r="A25" s="5">
        <v>50</v>
      </c>
      <c r="B25" s="5">
        <v>0</v>
      </c>
      <c r="C25" s="5">
        <v>0</v>
      </c>
      <c r="D25" s="5">
        <v>1</v>
      </c>
      <c r="E25" s="5">
        <v>227</v>
      </c>
      <c r="F25" s="5">
        <v>0</v>
      </c>
      <c r="G25" s="5" t="s">
        <v>56</v>
      </c>
      <c r="H25" s="5" t="s">
        <v>57</v>
      </c>
      <c r="I25" s="5"/>
      <c r="J25" s="5"/>
      <c r="K25" s="5">
        <v>227</v>
      </c>
      <c r="L25" s="5">
        <v>6</v>
      </c>
      <c r="M25" s="5">
        <v>3</v>
      </c>
      <c r="N25" s="5" t="s">
        <v>6</v>
      </c>
      <c r="O25" s="5">
        <v>0</v>
      </c>
      <c r="P25" s="5">
        <v>0</v>
      </c>
    </row>
    <row r="26" spans="1:40" x14ac:dyDescent="0.2">
      <c r="A26" s="5">
        <v>50</v>
      </c>
      <c r="B26" s="5">
        <v>0</v>
      </c>
      <c r="C26" s="5">
        <v>0</v>
      </c>
      <c r="D26" s="5">
        <v>1</v>
      </c>
      <c r="E26" s="5">
        <v>228</v>
      </c>
      <c r="F26" s="5">
        <v>0</v>
      </c>
      <c r="G26" s="5" t="s">
        <v>58</v>
      </c>
      <c r="H26" s="5" t="s">
        <v>59</v>
      </c>
      <c r="I26" s="5"/>
      <c r="J26" s="5"/>
      <c r="K26" s="5">
        <v>228</v>
      </c>
      <c r="L26" s="5">
        <v>7</v>
      </c>
      <c r="M26" s="5">
        <v>3</v>
      </c>
      <c r="N26" s="5" t="s">
        <v>6</v>
      </c>
      <c r="O26" s="5">
        <v>0</v>
      </c>
      <c r="P26" s="5">
        <v>0</v>
      </c>
    </row>
    <row r="27" spans="1:40" x14ac:dyDescent="0.2">
      <c r="A27" s="5">
        <v>50</v>
      </c>
      <c r="B27" s="5">
        <v>0</v>
      </c>
      <c r="C27" s="5">
        <v>0</v>
      </c>
      <c r="D27" s="5">
        <v>1</v>
      </c>
      <c r="E27" s="5">
        <v>216</v>
      </c>
      <c r="F27" s="5">
        <v>0</v>
      </c>
      <c r="G27" s="5" t="s">
        <v>60</v>
      </c>
      <c r="H27" s="5" t="s">
        <v>61</v>
      </c>
      <c r="I27" s="5"/>
      <c r="J27" s="5"/>
      <c r="K27" s="5">
        <v>216</v>
      </c>
      <c r="L27" s="5">
        <v>8</v>
      </c>
      <c r="M27" s="5">
        <v>3</v>
      </c>
      <c r="N27" s="5" t="s">
        <v>6</v>
      </c>
      <c r="O27" s="5">
        <v>0</v>
      </c>
      <c r="P27" s="5">
        <v>0</v>
      </c>
    </row>
    <row r="28" spans="1:40" x14ac:dyDescent="0.2">
      <c r="A28" s="5">
        <v>50</v>
      </c>
      <c r="B28" s="5">
        <v>0</v>
      </c>
      <c r="C28" s="5">
        <v>0</v>
      </c>
      <c r="D28" s="5">
        <v>1</v>
      </c>
      <c r="E28" s="5">
        <v>223</v>
      </c>
      <c r="F28" s="5">
        <v>0</v>
      </c>
      <c r="G28" s="5" t="s">
        <v>62</v>
      </c>
      <c r="H28" s="5" t="s">
        <v>63</v>
      </c>
      <c r="I28" s="5"/>
      <c r="J28" s="5"/>
      <c r="K28" s="5">
        <v>223</v>
      </c>
      <c r="L28" s="5">
        <v>9</v>
      </c>
      <c r="M28" s="5">
        <v>3</v>
      </c>
      <c r="N28" s="5" t="s">
        <v>6</v>
      </c>
      <c r="O28" s="5">
        <v>0</v>
      </c>
      <c r="P28" s="5">
        <v>0</v>
      </c>
    </row>
    <row r="29" spans="1:40" x14ac:dyDescent="0.2">
      <c r="A29" s="5">
        <v>50</v>
      </c>
      <c r="B29" s="5">
        <v>0</v>
      </c>
      <c r="C29" s="5">
        <v>0</v>
      </c>
      <c r="D29" s="5">
        <v>1</v>
      </c>
      <c r="E29" s="5">
        <v>229</v>
      </c>
      <c r="F29" s="5">
        <v>0</v>
      </c>
      <c r="G29" s="5" t="s">
        <v>64</v>
      </c>
      <c r="H29" s="5" t="s">
        <v>65</v>
      </c>
      <c r="I29" s="5"/>
      <c r="J29" s="5"/>
      <c r="K29" s="5">
        <v>229</v>
      </c>
      <c r="L29" s="5">
        <v>10</v>
      </c>
      <c r="M29" s="5">
        <v>3</v>
      </c>
      <c r="N29" s="5" t="s">
        <v>6</v>
      </c>
      <c r="O29" s="5">
        <v>0</v>
      </c>
      <c r="P29" s="5">
        <v>0</v>
      </c>
    </row>
    <row r="30" spans="1:40" x14ac:dyDescent="0.2">
      <c r="A30" s="5">
        <v>50</v>
      </c>
      <c r="B30" s="5">
        <v>0</v>
      </c>
      <c r="C30" s="5">
        <v>0</v>
      </c>
      <c r="D30" s="5">
        <v>1</v>
      </c>
      <c r="E30" s="5">
        <v>203</v>
      </c>
      <c r="F30" s="5">
        <v>27701</v>
      </c>
      <c r="G30" s="5" t="s">
        <v>66</v>
      </c>
      <c r="H30" s="5" t="s">
        <v>67</v>
      </c>
      <c r="I30" s="5"/>
      <c r="J30" s="5"/>
      <c r="K30" s="5">
        <v>203</v>
      </c>
      <c r="L30" s="5">
        <v>11</v>
      </c>
      <c r="M30" s="5">
        <v>3</v>
      </c>
      <c r="N30" s="5" t="s">
        <v>6</v>
      </c>
      <c r="O30" s="5">
        <v>0</v>
      </c>
      <c r="P30" s="5">
        <v>189207</v>
      </c>
    </row>
    <row r="31" spans="1:40" x14ac:dyDescent="0.2">
      <c r="A31" s="5">
        <v>50</v>
      </c>
      <c r="B31" s="5">
        <v>0</v>
      </c>
      <c r="C31" s="5">
        <v>0</v>
      </c>
      <c r="D31" s="5">
        <v>1</v>
      </c>
      <c r="E31" s="5">
        <v>231</v>
      </c>
      <c r="F31" s="5">
        <v>0</v>
      </c>
      <c r="G31" s="5" t="s">
        <v>68</v>
      </c>
      <c r="H31" s="5" t="s">
        <v>69</v>
      </c>
      <c r="I31" s="5"/>
      <c r="J31" s="5"/>
      <c r="K31" s="5">
        <v>231</v>
      </c>
      <c r="L31" s="5">
        <v>12</v>
      </c>
      <c r="M31" s="5">
        <v>3</v>
      </c>
      <c r="N31" s="5" t="s">
        <v>6</v>
      </c>
      <c r="O31" s="5">
        <v>0</v>
      </c>
      <c r="P31" s="5">
        <v>0</v>
      </c>
    </row>
    <row r="32" spans="1:40" x14ac:dyDescent="0.2">
      <c r="A32" s="5">
        <v>50</v>
      </c>
      <c r="B32" s="5">
        <v>0</v>
      </c>
      <c r="C32" s="5">
        <v>0</v>
      </c>
      <c r="D32" s="5">
        <v>1</v>
      </c>
      <c r="E32" s="5">
        <v>204</v>
      </c>
      <c r="F32" s="5">
        <v>1304</v>
      </c>
      <c r="G32" s="5" t="s">
        <v>70</v>
      </c>
      <c r="H32" s="5" t="s">
        <v>71</v>
      </c>
      <c r="I32" s="5"/>
      <c r="J32" s="5"/>
      <c r="K32" s="5">
        <v>204</v>
      </c>
      <c r="L32" s="5">
        <v>13</v>
      </c>
      <c r="M32" s="5">
        <v>3</v>
      </c>
      <c r="N32" s="5" t="s">
        <v>6</v>
      </c>
      <c r="O32" s="5">
        <v>0</v>
      </c>
      <c r="P32" s="5">
        <v>23899</v>
      </c>
    </row>
    <row r="33" spans="1:16" x14ac:dyDescent="0.2">
      <c r="A33" s="5">
        <v>50</v>
      </c>
      <c r="B33" s="5">
        <v>0</v>
      </c>
      <c r="C33" s="5">
        <v>0</v>
      </c>
      <c r="D33" s="5">
        <v>1</v>
      </c>
      <c r="E33" s="5">
        <v>205</v>
      </c>
      <c r="F33" s="5">
        <v>2189</v>
      </c>
      <c r="G33" s="5" t="s">
        <v>72</v>
      </c>
      <c r="H33" s="5" t="s">
        <v>73</v>
      </c>
      <c r="I33" s="5"/>
      <c r="J33" s="5"/>
      <c r="K33" s="5">
        <v>205</v>
      </c>
      <c r="L33" s="5">
        <v>14</v>
      </c>
      <c r="M33" s="5">
        <v>3</v>
      </c>
      <c r="N33" s="5" t="s">
        <v>6</v>
      </c>
      <c r="O33" s="5">
        <v>0</v>
      </c>
      <c r="P33" s="5">
        <v>55455</v>
      </c>
    </row>
    <row r="34" spans="1:16" x14ac:dyDescent="0.2">
      <c r="A34" s="5">
        <v>50</v>
      </c>
      <c r="B34" s="5">
        <v>0</v>
      </c>
      <c r="C34" s="5">
        <v>0</v>
      </c>
      <c r="D34" s="5">
        <v>1</v>
      </c>
      <c r="E34" s="5">
        <v>232</v>
      </c>
      <c r="F34" s="5">
        <v>0</v>
      </c>
      <c r="G34" s="5" t="s">
        <v>74</v>
      </c>
      <c r="H34" s="5" t="s">
        <v>75</v>
      </c>
      <c r="I34" s="5"/>
      <c r="J34" s="5"/>
      <c r="K34" s="5">
        <v>232</v>
      </c>
      <c r="L34" s="5">
        <v>15</v>
      </c>
      <c r="M34" s="5">
        <v>3</v>
      </c>
      <c r="N34" s="5" t="s">
        <v>6</v>
      </c>
      <c r="O34" s="5">
        <v>0</v>
      </c>
      <c r="P34" s="5">
        <v>0</v>
      </c>
    </row>
    <row r="35" spans="1:16" x14ac:dyDescent="0.2">
      <c r="A35" s="5">
        <v>50</v>
      </c>
      <c r="B35" s="5">
        <v>0</v>
      </c>
      <c r="C35" s="5">
        <v>0</v>
      </c>
      <c r="D35" s="5">
        <v>1</v>
      </c>
      <c r="E35" s="5">
        <v>214</v>
      </c>
      <c r="F35" s="5">
        <v>34537</v>
      </c>
      <c r="G35" s="5" t="s">
        <v>76</v>
      </c>
      <c r="H35" s="5" t="s">
        <v>77</v>
      </c>
      <c r="I35" s="5"/>
      <c r="J35" s="5"/>
      <c r="K35" s="5">
        <v>214</v>
      </c>
      <c r="L35" s="5">
        <v>16</v>
      </c>
      <c r="M35" s="5">
        <v>3</v>
      </c>
      <c r="N35" s="5" t="s">
        <v>6</v>
      </c>
      <c r="O35" s="5">
        <v>0</v>
      </c>
      <c r="P35" s="5">
        <v>340109</v>
      </c>
    </row>
    <row r="36" spans="1:16" x14ac:dyDescent="0.2">
      <c r="A36" s="5">
        <v>50</v>
      </c>
      <c r="B36" s="5">
        <v>0</v>
      </c>
      <c r="C36" s="5">
        <v>0</v>
      </c>
      <c r="D36" s="5">
        <v>1</v>
      </c>
      <c r="E36" s="5">
        <v>215</v>
      </c>
      <c r="F36" s="5">
        <v>0</v>
      </c>
      <c r="G36" s="5" t="s">
        <v>78</v>
      </c>
      <c r="H36" s="5" t="s">
        <v>79</v>
      </c>
      <c r="I36" s="5"/>
      <c r="J36" s="5"/>
      <c r="K36" s="5">
        <v>215</v>
      </c>
      <c r="L36" s="5">
        <v>17</v>
      </c>
      <c r="M36" s="5">
        <v>3</v>
      </c>
      <c r="N36" s="5" t="s">
        <v>6</v>
      </c>
      <c r="O36" s="5">
        <v>0</v>
      </c>
      <c r="P36" s="5">
        <v>0</v>
      </c>
    </row>
    <row r="37" spans="1:16" x14ac:dyDescent="0.2">
      <c r="A37" s="5">
        <v>50</v>
      </c>
      <c r="B37" s="5">
        <v>0</v>
      </c>
      <c r="C37" s="5">
        <v>0</v>
      </c>
      <c r="D37" s="5">
        <v>1</v>
      </c>
      <c r="E37" s="5">
        <v>217</v>
      </c>
      <c r="F37" s="5">
        <v>0</v>
      </c>
      <c r="G37" s="5" t="s">
        <v>80</v>
      </c>
      <c r="H37" s="5" t="s">
        <v>81</v>
      </c>
      <c r="I37" s="5"/>
      <c r="J37" s="5"/>
      <c r="K37" s="5">
        <v>217</v>
      </c>
      <c r="L37" s="5">
        <v>18</v>
      </c>
      <c r="M37" s="5">
        <v>3</v>
      </c>
      <c r="N37" s="5" t="s">
        <v>6</v>
      </c>
      <c r="O37" s="5">
        <v>0</v>
      </c>
      <c r="P37" s="5">
        <v>0</v>
      </c>
    </row>
    <row r="38" spans="1:16" x14ac:dyDescent="0.2">
      <c r="A38" s="5">
        <v>50</v>
      </c>
      <c r="B38" s="5">
        <v>0</v>
      </c>
      <c r="C38" s="5">
        <v>0</v>
      </c>
      <c r="D38" s="5">
        <v>1</v>
      </c>
      <c r="E38" s="5">
        <v>230</v>
      </c>
      <c r="F38" s="5">
        <v>0</v>
      </c>
      <c r="G38" s="5" t="s">
        <v>82</v>
      </c>
      <c r="H38" s="5" t="s">
        <v>83</v>
      </c>
      <c r="I38" s="5"/>
      <c r="J38" s="5"/>
      <c r="K38" s="5">
        <v>230</v>
      </c>
      <c r="L38" s="5">
        <v>19</v>
      </c>
      <c r="M38" s="5">
        <v>3</v>
      </c>
      <c r="N38" s="5" t="s">
        <v>6</v>
      </c>
      <c r="O38" s="5">
        <v>0</v>
      </c>
      <c r="P38" s="5">
        <v>0</v>
      </c>
    </row>
    <row r="39" spans="1:16" x14ac:dyDescent="0.2">
      <c r="A39" s="5">
        <v>50</v>
      </c>
      <c r="B39" s="5">
        <v>0</v>
      </c>
      <c r="C39" s="5">
        <v>0</v>
      </c>
      <c r="D39" s="5">
        <v>1</v>
      </c>
      <c r="E39" s="5">
        <v>206</v>
      </c>
      <c r="F39" s="5">
        <v>0</v>
      </c>
      <c r="G39" s="5" t="s">
        <v>84</v>
      </c>
      <c r="H39" s="5" t="s">
        <v>85</v>
      </c>
      <c r="I39" s="5"/>
      <c r="J39" s="5"/>
      <c r="K39" s="5">
        <v>206</v>
      </c>
      <c r="L39" s="5">
        <v>20</v>
      </c>
      <c r="M39" s="5">
        <v>3</v>
      </c>
      <c r="N39" s="5" t="s">
        <v>6</v>
      </c>
      <c r="O39" s="5">
        <v>0</v>
      </c>
      <c r="P39" s="5">
        <v>0</v>
      </c>
    </row>
    <row r="40" spans="1:16" x14ac:dyDescent="0.2">
      <c r="A40" s="5">
        <v>50</v>
      </c>
      <c r="B40" s="5">
        <v>0</v>
      </c>
      <c r="C40" s="5">
        <v>0</v>
      </c>
      <c r="D40" s="5">
        <v>1</v>
      </c>
      <c r="E40" s="5">
        <v>207</v>
      </c>
      <c r="F40" s="5">
        <v>278.182635</v>
      </c>
      <c r="G40" s="5" t="s">
        <v>86</v>
      </c>
      <c r="H40" s="5" t="s">
        <v>87</v>
      </c>
      <c r="I40" s="5"/>
      <c r="J40" s="5"/>
      <c r="K40" s="5">
        <v>207</v>
      </c>
      <c r="L40" s="5">
        <v>21</v>
      </c>
      <c r="M40" s="5">
        <v>3</v>
      </c>
      <c r="N40" s="5" t="s">
        <v>6</v>
      </c>
      <c r="O40" s="5">
        <v>-1</v>
      </c>
      <c r="P40" s="5">
        <v>278.182635</v>
      </c>
    </row>
    <row r="41" spans="1:16" x14ac:dyDescent="0.2">
      <c r="A41" s="5">
        <v>50</v>
      </c>
      <c r="B41" s="5">
        <v>0</v>
      </c>
      <c r="C41" s="5">
        <v>0</v>
      </c>
      <c r="D41" s="5">
        <v>1</v>
      </c>
      <c r="E41" s="5">
        <v>208</v>
      </c>
      <c r="F41" s="5">
        <v>95.796950999999993</v>
      </c>
      <c r="G41" s="5" t="s">
        <v>88</v>
      </c>
      <c r="H41" s="5" t="s">
        <v>89</v>
      </c>
      <c r="I41" s="5"/>
      <c r="J41" s="5"/>
      <c r="K41" s="5">
        <v>208</v>
      </c>
      <c r="L41" s="5">
        <v>22</v>
      </c>
      <c r="M41" s="5">
        <v>3</v>
      </c>
      <c r="N41" s="5" t="s">
        <v>6</v>
      </c>
      <c r="O41" s="5">
        <v>-1</v>
      </c>
      <c r="P41" s="5">
        <v>95.796950999999993</v>
      </c>
    </row>
    <row r="42" spans="1:16" x14ac:dyDescent="0.2">
      <c r="A42" s="5">
        <v>50</v>
      </c>
      <c r="B42" s="5">
        <v>0</v>
      </c>
      <c r="C42" s="5">
        <v>0</v>
      </c>
      <c r="D42" s="5">
        <v>1</v>
      </c>
      <c r="E42" s="5">
        <v>209</v>
      </c>
      <c r="F42" s="5">
        <v>0</v>
      </c>
      <c r="G42" s="5" t="s">
        <v>90</v>
      </c>
      <c r="H42" s="5" t="s">
        <v>91</v>
      </c>
      <c r="I42" s="5"/>
      <c r="J42" s="5"/>
      <c r="K42" s="5">
        <v>209</v>
      </c>
      <c r="L42" s="5">
        <v>23</v>
      </c>
      <c r="M42" s="5">
        <v>3</v>
      </c>
      <c r="N42" s="5" t="s">
        <v>6</v>
      </c>
      <c r="O42" s="5">
        <v>0</v>
      </c>
      <c r="P42" s="5">
        <v>0</v>
      </c>
    </row>
    <row r="43" spans="1:16" x14ac:dyDescent="0.2">
      <c r="A43" s="5">
        <v>50</v>
      </c>
      <c r="B43" s="5">
        <v>0</v>
      </c>
      <c r="C43" s="5">
        <v>0</v>
      </c>
      <c r="D43" s="5">
        <v>1</v>
      </c>
      <c r="E43" s="5">
        <v>233</v>
      </c>
      <c r="F43" s="5">
        <v>16406</v>
      </c>
      <c r="G43" s="5" t="s">
        <v>92</v>
      </c>
      <c r="H43" s="5" t="s">
        <v>93</v>
      </c>
      <c r="I43" s="5"/>
      <c r="J43" s="5"/>
      <c r="K43" s="5">
        <v>233</v>
      </c>
      <c r="L43" s="5">
        <v>24</v>
      </c>
      <c r="M43" s="5">
        <v>3</v>
      </c>
      <c r="N43" s="5" t="s">
        <v>6</v>
      </c>
      <c r="O43" s="5">
        <v>0</v>
      </c>
      <c r="P43" s="5">
        <v>116807</v>
      </c>
    </row>
    <row r="44" spans="1:16" x14ac:dyDescent="0.2">
      <c r="A44" s="5">
        <v>50</v>
      </c>
      <c r="B44" s="5">
        <v>0</v>
      </c>
      <c r="C44" s="5">
        <v>0</v>
      </c>
      <c r="D44" s="5">
        <v>1</v>
      </c>
      <c r="E44" s="5">
        <v>210</v>
      </c>
      <c r="F44" s="5">
        <v>3004</v>
      </c>
      <c r="G44" s="5" t="s">
        <v>94</v>
      </c>
      <c r="H44" s="5" t="s">
        <v>95</v>
      </c>
      <c r="I44" s="5"/>
      <c r="J44" s="5"/>
      <c r="K44" s="5">
        <v>210</v>
      </c>
      <c r="L44" s="5">
        <v>25</v>
      </c>
      <c r="M44" s="5">
        <v>3</v>
      </c>
      <c r="N44" s="5" t="s">
        <v>6</v>
      </c>
      <c r="O44" s="5">
        <v>0</v>
      </c>
      <c r="P44" s="5">
        <v>63981</v>
      </c>
    </row>
    <row r="45" spans="1:16" x14ac:dyDescent="0.2">
      <c r="A45" s="5">
        <v>50</v>
      </c>
      <c r="B45" s="5">
        <v>0</v>
      </c>
      <c r="C45" s="5">
        <v>0</v>
      </c>
      <c r="D45" s="5">
        <v>1</v>
      </c>
      <c r="E45" s="5">
        <v>211</v>
      </c>
      <c r="F45" s="5">
        <v>1643</v>
      </c>
      <c r="G45" s="5" t="s">
        <v>96</v>
      </c>
      <c r="H45" s="5" t="s">
        <v>97</v>
      </c>
      <c r="I45" s="5"/>
      <c r="J45" s="5"/>
      <c r="K45" s="5">
        <v>211</v>
      </c>
      <c r="L45" s="5">
        <v>26</v>
      </c>
      <c r="M45" s="5">
        <v>3</v>
      </c>
      <c r="N45" s="5" t="s">
        <v>6</v>
      </c>
      <c r="O45" s="5">
        <v>0</v>
      </c>
      <c r="P45" s="5">
        <v>31466</v>
      </c>
    </row>
    <row r="46" spans="1:16" x14ac:dyDescent="0.2">
      <c r="A46" s="5">
        <v>50</v>
      </c>
      <c r="B46" s="5">
        <v>0</v>
      </c>
      <c r="C46" s="5">
        <v>0</v>
      </c>
      <c r="D46" s="5">
        <v>1</v>
      </c>
      <c r="E46" s="5">
        <v>224</v>
      </c>
      <c r="F46" s="5">
        <v>34537</v>
      </c>
      <c r="G46" s="5" t="s">
        <v>98</v>
      </c>
      <c r="H46" s="5" t="s">
        <v>99</v>
      </c>
      <c r="I46" s="5"/>
      <c r="J46" s="5"/>
      <c r="K46" s="5">
        <v>224</v>
      </c>
      <c r="L46" s="5">
        <v>27</v>
      </c>
      <c r="M46" s="5">
        <v>3</v>
      </c>
      <c r="N46" s="5" t="s">
        <v>6</v>
      </c>
      <c r="O46" s="5">
        <v>0</v>
      </c>
      <c r="P46" s="5">
        <v>340109</v>
      </c>
    </row>
    <row r="48" spans="1:16" x14ac:dyDescent="0.2">
      <c r="A48">
        <v>-1</v>
      </c>
    </row>
    <row r="51" spans="1:40" x14ac:dyDescent="0.2">
      <c r="A51" s="4">
        <v>75</v>
      </c>
      <c r="B51" s="4" t="s">
        <v>168</v>
      </c>
      <c r="C51" s="4">
        <v>2000</v>
      </c>
      <c r="D51" s="4">
        <v>0</v>
      </c>
      <c r="E51" s="4">
        <v>1</v>
      </c>
      <c r="F51" s="4"/>
      <c r="G51" s="4">
        <v>0</v>
      </c>
      <c r="H51" s="4">
        <v>1</v>
      </c>
      <c r="I51" s="4">
        <v>0</v>
      </c>
      <c r="J51" s="4">
        <v>4</v>
      </c>
      <c r="K51" s="4">
        <v>0</v>
      </c>
      <c r="L51" s="4">
        <v>0</v>
      </c>
      <c r="M51" s="4">
        <v>0</v>
      </c>
      <c r="N51" s="4">
        <v>62803415</v>
      </c>
      <c r="O51" s="4">
        <v>1</v>
      </c>
    </row>
    <row r="52" spans="1:40" x14ac:dyDescent="0.2">
      <c r="A52" s="4">
        <v>75</v>
      </c>
      <c r="B52" s="4" t="s">
        <v>169</v>
      </c>
      <c r="C52" s="4">
        <v>2023</v>
      </c>
      <c r="D52" s="4">
        <v>1</v>
      </c>
      <c r="E52" s="4">
        <v>0</v>
      </c>
      <c r="F52" s="4"/>
      <c r="G52" s="4">
        <v>0</v>
      </c>
      <c r="H52" s="4">
        <v>2</v>
      </c>
      <c r="I52" s="4">
        <v>0</v>
      </c>
      <c r="J52" s="4">
        <v>3</v>
      </c>
      <c r="K52" s="4">
        <v>0</v>
      </c>
      <c r="L52" s="4">
        <v>0</v>
      </c>
      <c r="M52" s="4">
        <v>1</v>
      </c>
      <c r="N52" s="4">
        <v>62803416</v>
      </c>
      <c r="O52" s="4">
        <v>2</v>
      </c>
    </row>
    <row r="53" spans="1:40" x14ac:dyDescent="0.2">
      <c r="A53" s="6">
        <v>1</v>
      </c>
      <c r="B53" s="6" t="s">
        <v>170</v>
      </c>
      <c r="C53" s="6" t="s">
        <v>171</v>
      </c>
      <c r="D53" s="6">
        <v>2023</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62803417</v>
      </c>
    </row>
  </sheetData>
  <printOptions gridLines="1"/>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6"/>
  <sheetViews>
    <sheetView workbookViewId="0"/>
  </sheetViews>
  <sheetFormatPr defaultColWidth="9.140625" defaultRowHeight="12.75" x14ac:dyDescent="0.2"/>
  <cols>
    <col min="1" max="256" width="9.140625" customWidth="1"/>
  </cols>
  <sheetData>
    <row r="1" spans="1:200" x14ac:dyDescent="0.2">
      <c r="A1">
        <f>ROW(Source!A25)</f>
        <v>25</v>
      </c>
      <c r="B1">
        <v>62803415</v>
      </c>
      <c r="C1">
        <v>62803480</v>
      </c>
      <c r="D1">
        <v>121548</v>
      </c>
      <c r="E1">
        <v>1</v>
      </c>
      <c r="F1">
        <v>1</v>
      </c>
      <c r="G1">
        <v>1</v>
      </c>
      <c r="H1">
        <v>1</v>
      </c>
      <c r="I1" t="s">
        <v>25</v>
      </c>
      <c r="J1" t="s">
        <v>6</v>
      </c>
      <c r="K1" t="s">
        <v>173</v>
      </c>
      <c r="L1">
        <v>608254</v>
      </c>
      <c r="N1">
        <v>1013</v>
      </c>
      <c r="O1" t="s">
        <v>174</v>
      </c>
      <c r="P1" t="s">
        <v>174</v>
      </c>
      <c r="Q1">
        <v>1</v>
      </c>
      <c r="W1">
        <v>0</v>
      </c>
      <c r="X1">
        <v>-185737400</v>
      </c>
      <c r="Y1">
        <v>25.96</v>
      </c>
      <c r="AA1">
        <v>0</v>
      </c>
      <c r="AB1">
        <v>0</v>
      </c>
      <c r="AC1">
        <v>0</v>
      </c>
      <c r="AD1">
        <v>0</v>
      </c>
      <c r="AE1">
        <v>0</v>
      </c>
      <c r="AF1">
        <v>0</v>
      </c>
      <c r="AG1">
        <v>0</v>
      </c>
      <c r="AH1">
        <v>0</v>
      </c>
      <c r="AI1">
        <v>1</v>
      </c>
      <c r="AJ1">
        <v>1</v>
      </c>
      <c r="AK1">
        <v>1</v>
      </c>
      <c r="AL1">
        <v>1</v>
      </c>
      <c r="AN1">
        <v>0</v>
      </c>
      <c r="AO1">
        <v>1</v>
      </c>
      <c r="AP1">
        <v>0</v>
      </c>
      <c r="AQ1">
        <v>0</v>
      </c>
      <c r="AR1">
        <v>0</v>
      </c>
      <c r="AS1" t="s">
        <v>6</v>
      </c>
      <c r="AT1">
        <v>25.96</v>
      </c>
      <c r="AU1" t="s">
        <v>6</v>
      </c>
      <c r="AV1">
        <v>2</v>
      </c>
      <c r="AW1">
        <v>2</v>
      </c>
      <c r="AX1">
        <v>62803663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X1">
        <f>Y1*Source!I25</f>
        <v>83.090171999999995</v>
      </c>
      <c r="CY1">
        <f>AD1</f>
        <v>0</v>
      </c>
      <c r="CZ1">
        <f>AH1</f>
        <v>0</v>
      </c>
      <c r="DA1">
        <f>AL1</f>
        <v>1</v>
      </c>
      <c r="DB1">
        <f t="shared" ref="DB1:DB14" si="0">ROUND(ROUND(AT1*CZ1,2),2)</f>
        <v>0</v>
      </c>
      <c r="DC1">
        <f t="shared" ref="DC1:DC14" si="1">ROUND(ROUND(AT1*AG1,2),2)</f>
        <v>0</v>
      </c>
      <c r="DH1">
        <f>Source!I25*SmtRes!Y1</f>
        <v>83.090171999999995</v>
      </c>
      <c r="DI1">
        <f>AD1</f>
        <v>0</v>
      </c>
      <c r="DJ1">
        <f>EtalonRes!AB1</f>
        <v>0</v>
      </c>
      <c r="DK1">
        <f>Source!BA25</f>
        <v>1</v>
      </c>
      <c r="GQ1">
        <v>-1</v>
      </c>
      <c r="GR1">
        <v>-1</v>
      </c>
    </row>
    <row r="2" spans="1:200" x14ac:dyDescent="0.2">
      <c r="A2">
        <f>ROW(Source!A25)</f>
        <v>25</v>
      </c>
      <c r="B2">
        <v>62803415</v>
      </c>
      <c r="C2">
        <v>62803480</v>
      </c>
      <c r="D2">
        <v>27439781</v>
      </c>
      <c r="E2">
        <v>1</v>
      </c>
      <c r="F2">
        <v>1</v>
      </c>
      <c r="G2">
        <v>1</v>
      </c>
      <c r="H2">
        <v>2</v>
      </c>
      <c r="I2" t="s">
        <v>175</v>
      </c>
      <c r="J2" t="s">
        <v>176</v>
      </c>
      <c r="K2" t="s">
        <v>177</v>
      </c>
      <c r="L2">
        <v>1368</v>
      </c>
      <c r="N2">
        <v>1011</v>
      </c>
      <c r="O2" t="s">
        <v>178</v>
      </c>
      <c r="P2" t="s">
        <v>178</v>
      </c>
      <c r="Q2">
        <v>1</v>
      </c>
      <c r="W2">
        <v>0</v>
      </c>
      <c r="X2">
        <v>-938440382</v>
      </c>
      <c r="Y2">
        <v>25.96</v>
      </c>
      <c r="AA2">
        <v>0</v>
      </c>
      <c r="AB2">
        <v>122</v>
      </c>
      <c r="AC2">
        <v>13.61</v>
      </c>
      <c r="AD2">
        <v>0</v>
      </c>
      <c r="AE2">
        <v>0</v>
      </c>
      <c r="AF2">
        <v>122</v>
      </c>
      <c r="AG2">
        <v>13.61</v>
      </c>
      <c r="AH2">
        <v>0</v>
      </c>
      <c r="AI2">
        <v>1</v>
      </c>
      <c r="AJ2">
        <v>1</v>
      </c>
      <c r="AK2">
        <v>1</v>
      </c>
      <c r="AL2">
        <v>1</v>
      </c>
      <c r="AN2">
        <v>0</v>
      </c>
      <c r="AO2">
        <v>1</v>
      </c>
      <c r="AP2">
        <v>0</v>
      </c>
      <c r="AQ2">
        <v>0</v>
      </c>
      <c r="AR2">
        <v>0</v>
      </c>
      <c r="AS2" t="s">
        <v>6</v>
      </c>
      <c r="AT2">
        <v>25.96</v>
      </c>
      <c r="AU2" t="s">
        <v>6</v>
      </c>
      <c r="AV2">
        <v>0</v>
      </c>
      <c r="AW2">
        <v>2</v>
      </c>
      <c r="AX2">
        <v>62803664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X2">
        <f>Y2*Source!I25</f>
        <v>83.090171999999995</v>
      </c>
      <c r="CY2">
        <f>AB2</f>
        <v>122</v>
      </c>
      <c r="CZ2">
        <f>AF2</f>
        <v>122</v>
      </c>
      <c r="DA2">
        <f>AJ2</f>
        <v>1</v>
      </c>
      <c r="DB2">
        <f t="shared" si="0"/>
        <v>3167.12</v>
      </c>
      <c r="DC2">
        <f t="shared" si="1"/>
        <v>353.32</v>
      </c>
      <c r="DH2">
        <f>Source!I25*SmtRes!Y2</f>
        <v>83.090171999999995</v>
      </c>
      <c r="DI2">
        <f>AB2</f>
        <v>122</v>
      </c>
      <c r="DJ2">
        <f>EtalonRes!Z2</f>
        <v>122</v>
      </c>
      <c r="DK2">
        <f>Source!BB25</f>
        <v>1</v>
      </c>
      <c r="GQ2">
        <v>-1</v>
      </c>
      <c r="GR2">
        <v>-1</v>
      </c>
    </row>
    <row r="3" spans="1:200" x14ac:dyDescent="0.2">
      <c r="A3">
        <f>ROW(Source!A26)</f>
        <v>26</v>
      </c>
      <c r="B3">
        <v>62803416</v>
      </c>
      <c r="C3">
        <v>62803480</v>
      </c>
      <c r="D3">
        <v>121548</v>
      </c>
      <c r="E3">
        <v>1</v>
      </c>
      <c r="F3">
        <v>1</v>
      </c>
      <c r="G3">
        <v>1</v>
      </c>
      <c r="H3">
        <v>1</v>
      </c>
      <c r="I3" t="s">
        <v>25</v>
      </c>
      <c r="J3" t="s">
        <v>6</v>
      </c>
      <c r="K3" t="s">
        <v>173</v>
      </c>
      <c r="L3">
        <v>608254</v>
      </c>
      <c r="N3">
        <v>1013</v>
      </c>
      <c r="O3" t="s">
        <v>174</v>
      </c>
      <c r="P3" t="s">
        <v>174</v>
      </c>
      <c r="Q3">
        <v>1</v>
      </c>
      <c r="W3">
        <v>0</v>
      </c>
      <c r="X3">
        <v>-185737400</v>
      </c>
      <c r="Y3">
        <v>25.96</v>
      </c>
      <c r="AA3">
        <v>0</v>
      </c>
      <c r="AB3">
        <v>0</v>
      </c>
      <c r="AC3">
        <v>0</v>
      </c>
      <c r="AD3">
        <v>0</v>
      </c>
      <c r="AE3">
        <v>0</v>
      </c>
      <c r="AF3">
        <v>0</v>
      </c>
      <c r="AG3">
        <v>0</v>
      </c>
      <c r="AH3">
        <v>0</v>
      </c>
      <c r="AI3">
        <v>1</v>
      </c>
      <c r="AJ3">
        <v>1</v>
      </c>
      <c r="AK3">
        <v>18.329999999999998</v>
      </c>
      <c r="AL3">
        <v>1</v>
      </c>
      <c r="AN3">
        <v>0</v>
      </c>
      <c r="AO3">
        <v>1</v>
      </c>
      <c r="AP3">
        <v>0</v>
      </c>
      <c r="AQ3">
        <v>0</v>
      </c>
      <c r="AR3">
        <v>0</v>
      </c>
      <c r="AS3" t="s">
        <v>6</v>
      </c>
      <c r="AT3">
        <v>25.96</v>
      </c>
      <c r="AU3" t="s">
        <v>6</v>
      </c>
      <c r="AV3">
        <v>2</v>
      </c>
      <c r="AW3">
        <v>2</v>
      </c>
      <c r="AX3">
        <v>62803663</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X3">
        <f>Y3*Source!I26</f>
        <v>83.090171999999995</v>
      </c>
      <c r="CY3">
        <f>AD3</f>
        <v>0</v>
      </c>
      <c r="CZ3">
        <f>AH3</f>
        <v>0</v>
      </c>
      <c r="DA3">
        <f>AL3</f>
        <v>1</v>
      </c>
      <c r="DB3">
        <f t="shared" si="0"/>
        <v>0</v>
      </c>
      <c r="DC3">
        <f t="shared" si="1"/>
        <v>0</v>
      </c>
      <c r="DH3">
        <f>Source!I26*SmtRes!Y3</f>
        <v>83.090171999999995</v>
      </c>
      <c r="DI3">
        <f>AD3</f>
        <v>0</v>
      </c>
      <c r="DJ3">
        <f>EtalonRes!AB3</f>
        <v>0</v>
      </c>
      <c r="DK3">
        <f>Source!BA26</f>
        <v>25.33</v>
      </c>
      <c r="GQ3">
        <v>-1</v>
      </c>
      <c r="GR3">
        <v>-1</v>
      </c>
    </row>
    <row r="4" spans="1:200" x14ac:dyDescent="0.2">
      <c r="A4">
        <f>ROW(Source!A26)</f>
        <v>26</v>
      </c>
      <c r="B4">
        <v>62803416</v>
      </c>
      <c r="C4">
        <v>62803480</v>
      </c>
      <c r="D4">
        <v>27439781</v>
      </c>
      <c r="E4">
        <v>1</v>
      </c>
      <c r="F4">
        <v>1</v>
      </c>
      <c r="G4">
        <v>1</v>
      </c>
      <c r="H4">
        <v>2</v>
      </c>
      <c r="I4" t="s">
        <v>175</v>
      </c>
      <c r="J4" t="s">
        <v>176</v>
      </c>
      <c r="K4" t="s">
        <v>177</v>
      </c>
      <c r="L4">
        <v>1368</v>
      </c>
      <c r="N4">
        <v>1011</v>
      </c>
      <c r="O4" t="s">
        <v>178</v>
      </c>
      <c r="P4" t="s">
        <v>178</v>
      </c>
      <c r="Q4">
        <v>1</v>
      </c>
      <c r="W4">
        <v>0</v>
      </c>
      <c r="X4">
        <v>-938440382</v>
      </c>
      <c r="Y4">
        <v>25.96</v>
      </c>
      <c r="AA4">
        <v>0</v>
      </c>
      <c r="AB4">
        <v>782.02</v>
      </c>
      <c r="AC4">
        <v>249.47</v>
      </c>
      <c r="AD4">
        <v>0</v>
      </c>
      <c r="AE4">
        <v>0</v>
      </c>
      <c r="AF4">
        <v>122</v>
      </c>
      <c r="AG4">
        <v>13.61</v>
      </c>
      <c r="AH4">
        <v>0</v>
      </c>
      <c r="AI4">
        <v>1</v>
      </c>
      <c r="AJ4">
        <v>6.41</v>
      </c>
      <c r="AK4">
        <v>18.329999999999998</v>
      </c>
      <c r="AL4">
        <v>1</v>
      </c>
      <c r="AN4">
        <v>0</v>
      </c>
      <c r="AO4">
        <v>1</v>
      </c>
      <c r="AP4">
        <v>0</v>
      </c>
      <c r="AQ4">
        <v>0</v>
      </c>
      <c r="AR4">
        <v>0</v>
      </c>
      <c r="AS4" t="s">
        <v>6</v>
      </c>
      <c r="AT4">
        <v>25.96</v>
      </c>
      <c r="AU4" t="s">
        <v>6</v>
      </c>
      <c r="AV4">
        <v>0</v>
      </c>
      <c r="AW4">
        <v>2</v>
      </c>
      <c r="AX4">
        <v>62803664</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X4">
        <f>Y4*Source!I26</f>
        <v>83.090171999999995</v>
      </c>
      <c r="CY4">
        <f>AB4</f>
        <v>782.02</v>
      </c>
      <c r="CZ4">
        <f>AF4</f>
        <v>122</v>
      </c>
      <c r="DA4">
        <f>AJ4</f>
        <v>6.41</v>
      </c>
      <c r="DB4">
        <f t="shared" si="0"/>
        <v>3167.12</v>
      </c>
      <c r="DC4">
        <f t="shared" si="1"/>
        <v>353.32</v>
      </c>
      <c r="DH4">
        <f>Source!I26*SmtRes!Y4</f>
        <v>83.090171999999995</v>
      </c>
      <c r="DI4">
        <f>AB4</f>
        <v>782.02</v>
      </c>
      <c r="DJ4">
        <f>EtalonRes!Z4</f>
        <v>122</v>
      </c>
      <c r="DK4">
        <f>Source!BB26</f>
        <v>6.41</v>
      </c>
      <c r="GQ4">
        <v>-1</v>
      </c>
      <c r="GR4">
        <v>-1</v>
      </c>
    </row>
    <row r="5" spans="1:200" x14ac:dyDescent="0.2">
      <c r="A5">
        <f>ROW(Source!A27)</f>
        <v>27</v>
      </c>
      <c r="B5">
        <v>62803415</v>
      </c>
      <c r="C5">
        <v>62803490</v>
      </c>
      <c r="D5">
        <v>27441335</v>
      </c>
      <c r="E5">
        <v>1</v>
      </c>
      <c r="F5">
        <v>1</v>
      </c>
      <c r="G5">
        <v>1</v>
      </c>
      <c r="H5">
        <v>2</v>
      </c>
      <c r="I5" t="s">
        <v>179</v>
      </c>
      <c r="J5" t="s">
        <v>180</v>
      </c>
      <c r="K5" t="s">
        <v>181</v>
      </c>
      <c r="L5">
        <v>1368</v>
      </c>
      <c r="N5">
        <v>1011</v>
      </c>
      <c r="O5" t="s">
        <v>178</v>
      </c>
      <c r="P5" t="s">
        <v>178</v>
      </c>
      <c r="Q5">
        <v>1</v>
      </c>
      <c r="W5">
        <v>0</v>
      </c>
      <c r="X5">
        <v>-1952721807</v>
      </c>
      <c r="Y5">
        <v>2.5899999999999999E-2</v>
      </c>
      <c r="AA5">
        <v>0</v>
      </c>
      <c r="AB5">
        <v>114.93</v>
      </c>
      <c r="AC5">
        <v>13.61</v>
      </c>
      <c r="AD5">
        <v>0</v>
      </c>
      <c r="AE5">
        <v>0</v>
      </c>
      <c r="AF5">
        <v>114.93</v>
      </c>
      <c r="AG5">
        <v>13.61</v>
      </c>
      <c r="AH5">
        <v>0</v>
      </c>
      <c r="AI5">
        <v>1</v>
      </c>
      <c r="AJ5">
        <v>1</v>
      </c>
      <c r="AK5">
        <v>1</v>
      </c>
      <c r="AL5">
        <v>1</v>
      </c>
      <c r="AN5">
        <v>0</v>
      </c>
      <c r="AO5">
        <v>1</v>
      </c>
      <c r="AP5">
        <v>0</v>
      </c>
      <c r="AQ5">
        <v>0</v>
      </c>
      <c r="AR5">
        <v>0</v>
      </c>
      <c r="AS5" t="s">
        <v>6</v>
      </c>
      <c r="AT5">
        <v>2.5899999999999999E-2</v>
      </c>
      <c r="AU5" t="s">
        <v>6</v>
      </c>
      <c r="AV5">
        <v>0</v>
      </c>
      <c r="AW5">
        <v>2</v>
      </c>
      <c r="AX5">
        <v>62803492</v>
      </c>
      <c r="AY5">
        <v>1</v>
      </c>
      <c r="AZ5">
        <v>0</v>
      </c>
      <c r="BA5">
        <v>5</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X5">
        <f>Y5*Source!I27</f>
        <v>142.58478359999998</v>
      </c>
      <c r="CY5">
        <f>AB5</f>
        <v>114.93</v>
      </c>
      <c r="CZ5">
        <f>AF5</f>
        <v>114.93</v>
      </c>
      <c r="DA5">
        <f>AJ5</f>
        <v>1</v>
      </c>
      <c r="DB5">
        <f t="shared" si="0"/>
        <v>2.98</v>
      </c>
      <c r="DC5">
        <f t="shared" si="1"/>
        <v>0.35</v>
      </c>
      <c r="DH5">
        <f>Source!I27*SmtRes!Y5</f>
        <v>142.58478359999998</v>
      </c>
      <c r="DI5">
        <f>AB5</f>
        <v>114.93</v>
      </c>
      <c r="DJ5">
        <f>EtalonRes!Z5</f>
        <v>114.93</v>
      </c>
      <c r="DK5">
        <f>Source!BB27</f>
        <v>1</v>
      </c>
      <c r="GQ5">
        <v>-1</v>
      </c>
      <c r="GR5">
        <v>-1</v>
      </c>
    </row>
    <row r="6" spans="1:200" x14ac:dyDescent="0.2">
      <c r="A6">
        <f>ROW(Source!A28)</f>
        <v>28</v>
      </c>
      <c r="B6">
        <v>62803416</v>
      </c>
      <c r="C6">
        <v>62803490</v>
      </c>
      <c r="D6">
        <v>27441335</v>
      </c>
      <c r="E6">
        <v>1</v>
      </c>
      <c r="F6">
        <v>1</v>
      </c>
      <c r="G6">
        <v>1</v>
      </c>
      <c r="H6">
        <v>2</v>
      </c>
      <c r="I6" t="s">
        <v>179</v>
      </c>
      <c r="J6" t="s">
        <v>180</v>
      </c>
      <c r="K6" t="s">
        <v>181</v>
      </c>
      <c r="L6">
        <v>1368</v>
      </c>
      <c r="N6">
        <v>1011</v>
      </c>
      <c r="O6" t="s">
        <v>178</v>
      </c>
      <c r="P6" t="s">
        <v>178</v>
      </c>
      <c r="Q6">
        <v>1</v>
      </c>
      <c r="W6">
        <v>0</v>
      </c>
      <c r="X6">
        <v>-1952721807</v>
      </c>
      <c r="Y6">
        <v>2.5899999999999999E-2</v>
      </c>
      <c r="AA6">
        <v>0</v>
      </c>
      <c r="AB6">
        <v>818.3</v>
      </c>
      <c r="AC6">
        <v>249.47</v>
      </c>
      <c r="AD6">
        <v>0</v>
      </c>
      <c r="AE6">
        <v>0</v>
      </c>
      <c r="AF6">
        <v>114.93</v>
      </c>
      <c r="AG6">
        <v>13.61</v>
      </c>
      <c r="AH6">
        <v>0</v>
      </c>
      <c r="AI6">
        <v>1</v>
      </c>
      <c r="AJ6">
        <v>7.12</v>
      </c>
      <c r="AK6">
        <v>18.329999999999998</v>
      </c>
      <c r="AL6">
        <v>1</v>
      </c>
      <c r="AN6">
        <v>0</v>
      </c>
      <c r="AO6">
        <v>1</v>
      </c>
      <c r="AP6">
        <v>0</v>
      </c>
      <c r="AQ6">
        <v>0</v>
      </c>
      <c r="AR6">
        <v>0</v>
      </c>
      <c r="AS6" t="s">
        <v>6</v>
      </c>
      <c r="AT6">
        <v>2.5899999999999999E-2</v>
      </c>
      <c r="AU6" t="s">
        <v>6</v>
      </c>
      <c r="AV6">
        <v>0</v>
      </c>
      <c r="AW6">
        <v>2</v>
      </c>
      <c r="AX6">
        <v>62803492</v>
      </c>
      <c r="AY6">
        <v>1</v>
      </c>
      <c r="AZ6">
        <v>0</v>
      </c>
      <c r="BA6">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X6">
        <f>Y6*Source!I28</f>
        <v>142.58478359999998</v>
      </c>
      <c r="CY6">
        <f>AB6</f>
        <v>818.3</v>
      </c>
      <c r="CZ6">
        <f>AF6</f>
        <v>114.93</v>
      </c>
      <c r="DA6">
        <f>AJ6</f>
        <v>7.12</v>
      </c>
      <c r="DB6">
        <f t="shared" si="0"/>
        <v>2.98</v>
      </c>
      <c r="DC6">
        <f t="shared" si="1"/>
        <v>0.35</v>
      </c>
      <c r="DH6">
        <f>Source!I28*SmtRes!Y6</f>
        <v>142.58478359999998</v>
      </c>
      <c r="DI6">
        <f>AB6</f>
        <v>818.3</v>
      </c>
      <c r="DJ6">
        <f>EtalonRes!Z6</f>
        <v>114.93</v>
      </c>
      <c r="DK6">
        <f>Source!BB28</f>
        <v>7.12</v>
      </c>
      <c r="GQ6">
        <v>-1</v>
      </c>
      <c r="GR6">
        <v>-1</v>
      </c>
    </row>
    <row r="7" spans="1:200" x14ac:dyDescent="0.2">
      <c r="A7">
        <f>ROW(Source!A29)</f>
        <v>29</v>
      </c>
      <c r="B7">
        <v>62803415</v>
      </c>
      <c r="C7">
        <v>62803493</v>
      </c>
      <c r="D7">
        <v>27493207</v>
      </c>
      <c r="E7">
        <v>1</v>
      </c>
      <c r="F7">
        <v>1</v>
      </c>
      <c r="G7">
        <v>1</v>
      </c>
      <c r="H7">
        <v>1</v>
      </c>
      <c r="I7" t="s">
        <v>182</v>
      </c>
      <c r="J7" t="s">
        <v>6</v>
      </c>
      <c r="K7" t="s">
        <v>183</v>
      </c>
      <c r="L7">
        <v>1369</v>
      </c>
      <c r="N7">
        <v>1013</v>
      </c>
      <c r="O7" t="s">
        <v>184</v>
      </c>
      <c r="P7" t="s">
        <v>184</v>
      </c>
      <c r="Q7">
        <v>1</v>
      </c>
      <c r="W7">
        <v>0</v>
      </c>
      <c r="X7">
        <v>-1900352537</v>
      </c>
      <c r="Y7">
        <v>3.65</v>
      </c>
      <c r="AA7">
        <v>0</v>
      </c>
      <c r="AB7">
        <v>0</v>
      </c>
      <c r="AC7">
        <v>0</v>
      </c>
      <c r="AD7">
        <v>7.87</v>
      </c>
      <c r="AE7">
        <v>0</v>
      </c>
      <c r="AF7">
        <v>0</v>
      </c>
      <c r="AG7">
        <v>0</v>
      </c>
      <c r="AH7">
        <v>7.87</v>
      </c>
      <c r="AI7">
        <v>1</v>
      </c>
      <c r="AJ7">
        <v>1</v>
      </c>
      <c r="AK7">
        <v>1</v>
      </c>
      <c r="AL7">
        <v>1</v>
      </c>
      <c r="AN7">
        <v>0</v>
      </c>
      <c r="AO7">
        <v>1</v>
      </c>
      <c r="AP7">
        <v>0</v>
      </c>
      <c r="AQ7">
        <v>0</v>
      </c>
      <c r="AR7">
        <v>0</v>
      </c>
      <c r="AS7" t="s">
        <v>6</v>
      </c>
      <c r="AT7">
        <v>3.65</v>
      </c>
      <c r="AU7" t="s">
        <v>6</v>
      </c>
      <c r="AV7">
        <v>1</v>
      </c>
      <c r="AW7">
        <v>2</v>
      </c>
      <c r="AX7">
        <v>62807348</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X7">
        <f>Y7*Source!I29</f>
        <v>11.682554999999999</v>
      </c>
      <c r="CY7">
        <f>AD7</f>
        <v>7.87</v>
      </c>
      <c r="CZ7">
        <f>AH7</f>
        <v>7.87</v>
      </c>
      <c r="DA7">
        <f>AL7</f>
        <v>1</v>
      </c>
      <c r="DB7">
        <f t="shared" si="0"/>
        <v>28.73</v>
      </c>
      <c r="DC7">
        <f t="shared" si="1"/>
        <v>0</v>
      </c>
      <c r="DH7">
        <f>Source!I29*SmtRes!Y7</f>
        <v>11.682554999999999</v>
      </c>
      <c r="DI7">
        <f>AD7</f>
        <v>7.87</v>
      </c>
      <c r="DJ7">
        <f>EtalonRes!AB7</f>
        <v>7.87</v>
      </c>
      <c r="DK7">
        <f>Source!BA29</f>
        <v>1</v>
      </c>
      <c r="GQ7">
        <v>-1</v>
      </c>
      <c r="GR7">
        <v>-1</v>
      </c>
    </row>
    <row r="8" spans="1:200" x14ac:dyDescent="0.2">
      <c r="A8">
        <f>ROW(Source!A29)</f>
        <v>29</v>
      </c>
      <c r="B8">
        <v>62803415</v>
      </c>
      <c r="C8">
        <v>62803493</v>
      </c>
      <c r="D8">
        <v>121548</v>
      </c>
      <c r="E8">
        <v>1</v>
      </c>
      <c r="F8">
        <v>1</v>
      </c>
      <c r="G8">
        <v>1</v>
      </c>
      <c r="H8">
        <v>1</v>
      </c>
      <c r="I8" t="s">
        <v>25</v>
      </c>
      <c r="J8" t="s">
        <v>6</v>
      </c>
      <c r="K8" t="s">
        <v>173</v>
      </c>
      <c r="L8">
        <v>608254</v>
      </c>
      <c r="N8">
        <v>1013</v>
      </c>
      <c r="O8" t="s">
        <v>174</v>
      </c>
      <c r="P8" t="s">
        <v>174</v>
      </c>
      <c r="Q8">
        <v>1</v>
      </c>
      <c r="W8">
        <v>0</v>
      </c>
      <c r="X8">
        <v>-185737400</v>
      </c>
      <c r="Y8">
        <v>3.97</v>
      </c>
      <c r="AA8">
        <v>0</v>
      </c>
      <c r="AB8">
        <v>0</v>
      </c>
      <c r="AC8">
        <v>0</v>
      </c>
      <c r="AD8">
        <v>0</v>
      </c>
      <c r="AE8">
        <v>0</v>
      </c>
      <c r="AF8">
        <v>0</v>
      </c>
      <c r="AG8">
        <v>0</v>
      </c>
      <c r="AH8">
        <v>0</v>
      </c>
      <c r="AI8">
        <v>1</v>
      </c>
      <c r="AJ8">
        <v>1</v>
      </c>
      <c r="AK8">
        <v>1</v>
      </c>
      <c r="AL8">
        <v>1</v>
      </c>
      <c r="AN8">
        <v>0</v>
      </c>
      <c r="AO8">
        <v>1</v>
      </c>
      <c r="AP8">
        <v>0</v>
      </c>
      <c r="AQ8">
        <v>0</v>
      </c>
      <c r="AR8">
        <v>0</v>
      </c>
      <c r="AS8" t="s">
        <v>6</v>
      </c>
      <c r="AT8">
        <v>3.97</v>
      </c>
      <c r="AU8" t="s">
        <v>6</v>
      </c>
      <c r="AV8">
        <v>2</v>
      </c>
      <c r="AW8">
        <v>2</v>
      </c>
      <c r="AX8">
        <v>62807349</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X8">
        <f>Y8*Source!I29</f>
        <v>12.706779000000001</v>
      </c>
      <c r="CY8">
        <f>AD8</f>
        <v>0</v>
      </c>
      <c r="CZ8">
        <f>AH8</f>
        <v>0</v>
      </c>
      <c r="DA8">
        <f>AL8</f>
        <v>1</v>
      </c>
      <c r="DB8">
        <f t="shared" si="0"/>
        <v>0</v>
      </c>
      <c r="DC8">
        <f t="shared" si="1"/>
        <v>0</v>
      </c>
      <c r="DH8">
        <f>Source!I29*SmtRes!Y8</f>
        <v>12.706779000000001</v>
      </c>
      <c r="DI8">
        <f>AD8</f>
        <v>0</v>
      </c>
      <c r="DJ8">
        <f>EtalonRes!AB8</f>
        <v>0</v>
      </c>
      <c r="DK8">
        <f>Source!BA29</f>
        <v>1</v>
      </c>
      <c r="GQ8">
        <v>-1</v>
      </c>
      <c r="GR8">
        <v>-1</v>
      </c>
    </row>
    <row r="9" spans="1:200" x14ac:dyDescent="0.2">
      <c r="A9">
        <f>ROW(Source!A29)</f>
        <v>29</v>
      </c>
      <c r="B9">
        <v>62803415</v>
      </c>
      <c r="C9">
        <v>62803493</v>
      </c>
      <c r="D9">
        <v>27439851</v>
      </c>
      <c r="E9">
        <v>1</v>
      </c>
      <c r="F9">
        <v>1</v>
      </c>
      <c r="G9">
        <v>1</v>
      </c>
      <c r="H9">
        <v>2</v>
      </c>
      <c r="I9" t="s">
        <v>185</v>
      </c>
      <c r="J9" t="s">
        <v>186</v>
      </c>
      <c r="K9" t="s">
        <v>187</v>
      </c>
      <c r="L9">
        <v>1368</v>
      </c>
      <c r="N9">
        <v>1011</v>
      </c>
      <c r="O9" t="s">
        <v>178</v>
      </c>
      <c r="P9" t="s">
        <v>178</v>
      </c>
      <c r="Q9">
        <v>1</v>
      </c>
      <c r="W9">
        <v>0</v>
      </c>
      <c r="X9">
        <v>82665938</v>
      </c>
      <c r="Y9">
        <v>3.97</v>
      </c>
      <c r="AA9">
        <v>0</v>
      </c>
      <c r="AB9">
        <v>88.79</v>
      </c>
      <c r="AC9">
        <v>13.61</v>
      </c>
      <c r="AD9">
        <v>0</v>
      </c>
      <c r="AE9">
        <v>0</v>
      </c>
      <c r="AF9">
        <v>88.79</v>
      </c>
      <c r="AG9">
        <v>13.61</v>
      </c>
      <c r="AH9">
        <v>0</v>
      </c>
      <c r="AI9">
        <v>1</v>
      </c>
      <c r="AJ9">
        <v>1</v>
      </c>
      <c r="AK9">
        <v>1</v>
      </c>
      <c r="AL9">
        <v>1</v>
      </c>
      <c r="AN9">
        <v>0</v>
      </c>
      <c r="AO9">
        <v>1</v>
      </c>
      <c r="AP9">
        <v>0</v>
      </c>
      <c r="AQ9">
        <v>0</v>
      </c>
      <c r="AR9">
        <v>0</v>
      </c>
      <c r="AS9" t="s">
        <v>6</v>
      </c>
      <c r="AT9">
        <v>3.97</v>
      </c>
      <c r="AU9" t="s">
        <v>6</v>
      </c>
      <c r="AV9">
        <v>0</v>
      </c>
      <c r="AW9">
        <v>2</v>
      </c>
      <c r="AX9">
        <v>62807350</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X9">
        <f>Y9*Source!I29</f>
        <v>12.706779000000001</v>
      </c>
      <c r="CY9">
        <f>AB9</f>
        <v>88.79</v>
      </c>
      <c r="CZ9">
        <f>AF9</f>
        <v>88.79</v>
      </c>
      <c r="DA9">
        <f>AJ9</f>
        <v>1</v>
      </c>
      <c r="DB9">
        <f t="shared" si="0"/>
        <v>352.5</v>
      </c>
      <c r="DC9">
        <f t="shared" si="1"/>
        <v>54.03</v>
      </c>
      <c r="DH9">
        <f>Source!I29*SmtRes!Y9</f>
        <v>12.706779000000001</v>
      </c>
      <c r="DI9">
        <f>AB9</f>
        <v>88.79</v>
      </c>
      <c r="DJ9">
        <f>EtalonRes!Z9</f>
        <v>88.79</v>
      </c>
      <c r="DK9">
        <f>Source!BB29</f>
        <v>1</v>
      </c>
      <c r="GQ9">
        <v>-1</v>
      </c>
      <c r="GR9">
        <v>-1</v>
      </c>
    </row>
    <row r="10" spans="1:200" x14ac:dyDescent="0.2">
      <c r="A10">
        <f>ROW(Source!A29)</f>
        <v>29</v>
      </c>
      <c r="B10">
        <v>62803415</v>
      </c>
      <c r="C10">
        <v>62803493</v>
      </c>
      <c r="D10">
        <v>27441334</v>
      </c>
      <c r="E10">
        <v>1</v>
      </c>
      <c r="F10">
        <v>1</v>
      </c>
      <c r="G10">
        <v>1</v>
      </c>
      <c r="H10">
        <v>2</v>
      </c>
      <c r="I10" t="s">
        <v>188</v>
      </c>
      <c r="J10" t="s">
        <v>189</v>
      </c>
      <c r="K10" t="s">
        <v>190</v>
      </c>
      <c r="L10">
        <v>1368</v>
      </c>
      <c r="N10">
        <v>1011</v>
      </c>
      <c r="O10" t="s">
        <v>178</v>
      </c>
      <c r="P10" t="s">
        <v>178</v>
      </c>
      <c r="Q10">
        <v>1</v>
      </c>
      <c r="W10">
        <v>0</v>
      </c>
      <c r="X10">
        <v>-1565846336</v>
      </c>
      <c r="Y10">
        <v>0.08</v>
      </c>
      <c r="AA10">
        <v>0</v>
      </c>
      <c r="AB10">
        <v>115.67</v>
      </c>
      <c r="AC10">
        <v>11.69</v>
      </c>
      <c r="AD10">
        <v>0</v>
      </c>
      <c r="AE10">
        <v>0</v>
      </c>
      <c r="AF10">
        <v>115.67</v>
      </c>
      <c r="AG10">
        <v>11.69</v>
      </c>
      <c r="AH10">
        <v>0</v>
      </c>
      <c r="AI10">
        <v>1</v>
      </c>
      <c r="AJ10">
        <v>1</v>
      </c>
      <c r="AK10">
        <v>1</v>
      </c>
      <c r="AL10">
        <v>1</v>
      </c>
      <c r="AN10">
        <v>0</v>
      </c>
      <c r="AO10">
        <v>1</v>
      </c>
      <c r="AP10">
        <v>0</v>
      </c>
      <c r="AQ10">
        <v>0</v>
      </c>
      <c r="AR10">
        <v>0</v>
      </c>
      <c r="AS10" t="s">
        <v>6</v>
      </c>
      <c r="AT10">
        <v>0.08</v>
      </c>
      <c r="AU10" t="s">
        <v>6</v>
      </c>
      <c r="AV10">
        <v>0</v>
      </c>
      <c r="AW10">
        <v>2</v>
      </c>
      <c r="AX10">
        <v>62807351</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X10">
        <f>Y10*Source!I29</f>
        <v>0.25605600000000001</v>
      </c>
      <c r="CY10">
        <f>AB10</f>
        <v>115.67</v>
      </c>
      <c r="CZ10">
        <f>AF10</f>
        <v>115.67</v>
      </c>
      <c r="DA10">
        <f>AJ10</f>
        <v>1</v>
      </c>
      <c r="DB10">
        <f t="shared" si="0"/>
        <v>9.25</v>
      </c>
      <c r="DC10">
        <f t="shared" si="1"/>
        <v>0.94</v>
      </c>
      <c r="DH10">
        <f>Source!I29*SmtRes!Y10</f>
        <v>0.25605600000000001</v>
      </c>
      <c r="DI10">
        <f>AB10</f>
        <v>115.67</v>
      </c>
      <c r="DJ10">
        <f>EtalonRes!Z10</f>
        <v>115.67</v>
      </c>
      <c r="DK10">
        <f>Source!BB29</f>
        <v>1</v>
      </c>
      <c r="GQ10">
        <v>-1</v>
      </c>
      <c r="GR10">
        <v>-1</v>
      </c>
    </row>
    <row r="11" spans="1:200" x14ac:dyDescent="0.2">
      <c r="A11">
        <f>ROW(Source!A30)</f>
        <v>30</v>
      </c>
      <c r="B11">
        <v>62803416</v>
      </c>
      <c r="C11">
        <v>62803493</v>
      </c>
      <c r="D11">
        <v>27493207</v>
      </c>
      <c r="E11">
        <v>1</v>
      </c>
      <c r="F11">
        <v>1</v>
      </c>
      <c r="G11">
        <v>1</v>
      </c>
      <c r="H11">
        <v>1</v>
      </c>
      <c r="I11" t="s">
        <v>182</v>
      </c>
      <c r="J11" t="s">
        <v>6</v>
      </c>
      <c r="K11" t="s">
        <v>183</v>
      </c>
      <c r="L11">
        <v>1369</v>
      </c>
      <c r="N11">
        <v>1013</v>
      </c>
      <c r="O11" t="s">
        <v>184</v>
      </c>
      <c r="P11" t="s">
        <v>184</v>
      </c>
      <c r="Q11">
        <v>1</v>
      </c>
      <c r="W11">
        <v>0</v>
      </c>
      <c r="X11">
        <v>-1900352537</v>
      </c>
      <c r="Y11">
        <v>3.65</v>
      </c>
      <c r="AA11">
        <v>0</v>
      </c>
      <c r="AB11">
        <v>0</v>
      </c>
      <c r="AC11">
        <v>0</v>
      </c>
      <c r="AD11">
        <v>199.35</v>
      </c>
      <c r="AE11">
        <v>0</v>
      </c>
      <c r="AF11">
        <v>0</v>
      </c>
      <c r="AG11">
        <v>0</v>
      </c>
      <c r="AH11">
        <v>7.87</v>
      </c>
      <c r="AI11">
        <v>1</v>
      </c>
      <c r="AJ11">
        <v>1</v>
      </c>
      <c r="AK11">
        <v>1</v>
      </c>
      <c r="AL11">
        <v>25.33</v>
      </c>
      <c r="AN11">
        <v>0</v>
      </c>
      <c r="AO11">
        <v>1</v>
      </c>
      <c r="AP11">
        <v>0</v>
      </c>
      <c r="AQ11">
        <v>0</v>
      </c>
      <c r="AR11">
        <v>0</v>
      </c>
      <c r="AS11" t="s">
        <v>6</v>
      </c>
      <c r="AT11">
        <v>3.65</v>
      </c>
      <c r="AU11" t="s">
        <v>6</v>
      </c>
      <c r="AV11">
        <v>1</v>
      </c>
      <c r="AW11">
        <v>2</v>
      </c>
      <c r="AX11">
        <v>62807348</v>
      </c>
      <c r="AY11">
        <v>1</v>
      </c>
      <c r="AZ11">
        <v>0</v>
      </c>
      <c r="BA11">
        <v>12</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X11">
        <f>Y11*Source!I30</f>
        <v>11.682554999999999</v>
      </c>
      <c r="CY11">
        <f>AD11</f>
        <v>199.35</v>
      </c>
      <c r="CZ11">
        <f>AH11</f>
        <v>7.87</v>
      </c>
      <c r="DA11">
        <f>AL11</f>
        <v>25.33</v>
      </c>
      <c r="DB11">
        <f t="shared" si="0"/>
        <v>28.73</v>
      </c>
      <c r="DC11">
        <f t="shared" si="1"/>
        <v>0</v>
      </c>
      <c r="DH11">
        <f>Source!I30*SmtRes!Y11</f>
        <v>11.682554999999999</v>
      </c>
      <c r="DI11">
        <f>AD11</f>
        <v>199.35</v>
      </c>
      <c r="DJ11">
        <f>EtalonRes!AB12</f>
        <v>7.87</v>
      </c>
      <c r="DK11">
        <f>Source!BA30</f>
        <v>25.33</v>
      </c>
      <c r="GQ11">
        <v>-1</v>
      </c>
      <c r="GR11">
        <v>-1</v>
      </c>
    </row>
    <row r="12" spans="1:200" x14ac:dyDescent="0.2">
      <c r="A12">
        <f>ROW(Source!A30)</f>
        <v>30</v>
      </c>
      <c r="B12">
        <v>62803416</v>
      </c>
      <c r="C12">
        <v>62803493</v>
      </c>
      <c r="D12">
        <v>121548</v>
      </c>
      <c r="E12">
        <v>1</v>
      </c>
      <c r="F12">
        <v>1</v>
      </c>
      <c r="G12">
        <v>1</v>
      </c>
      <c r="H12">
        <v>1</v>
      </c>
      <c r="I12" t="s">
        <v>25</v>
      </c>
      <c r="J12" t="s">
        <v>6</v>
      </c>
      <c r="K12" t="s">
        <v>173</v>
      </c>
      <c r="L12">
        <v>608254</v>
      </c>
      <c r="N12">
        <v>1013</v>
      </c>
      <c r="O12" t="s">
        <v>174</v>
      </c>
      <c r="P12" t="s">
        <v>174</v>
      </c>
      <c r="Q12">
        <v>1</v>
      </c>
      <c r="W12">
        <v>0</v>
      </c>
      <c r="X12">
        <v>-185737400</v>
      </c>
      <c r="Y12">
        <v>3.97</v>
      </c>
      <c r="AA12">
        <v>0</v>
      </c>
      <c r="AB12">
        <v>0</v>
      </c>
      <c r="AC12">
        <v>0</v>
      </c>
      <c r="AD12">
        <v>0</v>
      </c>
      <c r="AE12">
        <v>0</v>
      </c>
      <c r="AF12">
        <v>0</v>
      </c>
      <c r="AG12">
        <v>0</v>
      </c>
      <c r="AH12">
        <v>0</v>
      </c>
      <c r="AI12">
        <v>1</v>
      </c>
      <c r="AJ12">
        <v>1</v>
      </c>
      <c r="AK12">
        <v>18.329999999999998</v>
      </c>
      <c r="AL12">
        <v>1</v>
      </c>
      <c r="AN12">
        <v>0</v>
      </c>
      <c r="AO12">
        <v>1</v>
      </c>
      <c r="AP12">
        <v>0</v>
      </c>
      <c r="AQ12">
        <v>0</v>
      </c>
      <c r="AR12">
        <v>0</v>
      </c>
      <c r="AS12" t="s">
        <v>6</v>
      </c>
      <c r="AT12">
        <v>3.97</v>
      </c>
      <c r="AU12" t="s">
        <v>6</v>
      </c>
      <c r="AV12">
        <v>2</v>
      </c>
      <c r="AW12">
        <v>2</v>
      </c>
      <c r="AX12">
        <v>62807349</v>
      </c>
      <c r="AY12">
        <v>1</v>
      </c>
      <c r="AZ12">
        <v>0</v>
      </c>
      <c r="BA12">
        <v>13</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X12">
        <f>Y12*Source!I30</f>
        <v>12.706779000000001</v>
      </c>
      <c r="CY12">
        <f>AD12</f>
        <v>0</v>
      </c>
      <c r="CZ12">
        <f>AH12</f>
        <v>0</v>
      </c>
      <c r="DA12">
        <f>AL12</f>
        <v>1</v>
      </c>
      <c r="DB12">
        <f t="shared" si="0"/>
        <v>0</v>
      </c>
      <c r="DC12">
        <f t="shared" si="1"/>
        <v>0</v>
      </c>
      <c r="DH12">
        <f>Source!I30*SmtRes!Y12</f>
        <v>12.706779000000001</v>
      </c>
      <c r="DI12">
        <f>AD12</f>
        <v>0</v>
      </c>
      <c r="DJ12">
        <f>EtalonRes!AB13</f>
        <v>0</v>
      </c>
      <c r="DK12">
        <f>Source!BA30</f>
        <v>25.33</v>
      </c>
      <c r="GQ12">
        <v>-1</v>
      </c>
      <c r="GR12">
        <v>-1</v>
      </c>
    </row>
    <row r="13" spans="1:200" x14ac:dyDescent="0.2">
      <c r="A13">
        <f>ROW(Source!A30)</f>
        <v>30</v>
      </c>
      <c r="B13">
        <v>62803416</v>
      </c>
      <c r="C13">
        <v>62803493</v>
      </c>
      <c r="D13">
        <v>27439851</v>
      </c>
      <c r="E13">
        <v>1</v>
      </c>
      <c r="F13">
        <v>1</v>
      </c>
      <c r="G13">
        <v>1</v>
      </c>
      <c r="H13">
        <v>2</v>
      </c>
      <c r="I13" t="s">
        <v>185</v>
      </c>
      <c r="J13" t="s">
        <v>186</v>
      </c>
      <c r="K13" t="s">
        <v>187</v>
      </c>
      <c r="L13">
        <v>1368</v>
      </c>
      <c r="N13">
        <v>1011</v>
      </c>
      <c r="O13" t="s">
        <v>178</v>
      </c>
      <c r="P13" t="s">
        <v>178</v>
      </c>
      <c r="Q13">
        <v>1</v>
      </c>
      <c r="W13">
        <v>0</v>
      </c>
      <c r="X13">
        <v>82665938</v>
      </c>
      <c r="Y13">
        <v>3.97</v>
      </c>
      <c r="AA13">
        <v>0</v>
      </c>
      <c r="AB13">
        <v>569.14</v>
      </c>
      <c r="AC13">
        <v>249.47</v>
      </c>
      <c r="AD13">
        <v>0</v>
      </c>
      <c r="AE13">
        <v>0</v>
      </c>
      <c r="AF13">
        <v>88.79</v>
      </c>
      <c r="AG13">
        <v>13.61</v>
      </c>
      <c r="AH13">
        <v>0</v>
      </c>
      <c r="AI13">
        <v>1</v>
      </c>
      <c r="AJ13">
        <v>6.41</v>
      </c>
      <c r="AK13">
        <v>18.329999999999998</v>
      </c>
      <c r="AL13">
        <v>1</v>
      </c>
      <c r="AN13">
        <v>0</v>
      </c>
      <c r="AO13">
        <v>1</v>
      </c>
      <c r="AP13">
        <v>0</v>
      </c>
      <c r="AQ13">
        <v>0</v>
      </c>
      <c r="AR13">
        <v>0</v>
      </c>
      <c r="AS13" t="s">
        <v>6</v>
      </c>
      <c r="AT13">
        <v>3.97</v>
      </c>
      <c r="AU13" t="s">
        <v>6</v>
      </c>
      <c r="AV13">
        <v>0</v>
      </c>
      <c r="AW13">
        <v>2</v>
      </c>
      <c r="AX13">
        <v>62807350</v>
      </c>
      <c r="AY13">
        <v>1</v>
      </c>
      <c r="AZ13">
        <v>0</v>
      </c>
      <c r="BA13">
        <v>14</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X13">
        <f>Y13*Source!I30</f>
        <v>12.706779000000001</v>
      </c>
      <c r="CY13">
        <f>AB13</f>
        <v>569.14</v>
      </c>
      <c r="CZ13">
        <f>AF13</f>
        <v>88.79</v>
      </c>
      <c r="DA13">
        <f>AJ13</f>
        <v>6.41</v>
      </c>
      <c r="DB13">
        <f t="shared" si="0"/>
        <v>352.5</v>
      </c>
      <c r="DC13">
        <f t="shared" si="1"/>
        <v>54.03</v>
      </c>
      <c r="DH13">
        <f>Source!I30*SmtRes!Y13</f>
        <v>12.706779000000001</v>
      </c>
      <c r="DI13">
        <f>AB13</f>
        <v>569.14</v>
      </c>
      <c r="DJ13">
        <f>EtalonRes!Z14</f>
        <v>88.79</v>
      </c>
      <c r="DK13">
        <f>Source!BB30</f>
        <v>6.41</v>
      </c>
      <c r="GQ13">
        <v>-1</v>
      </c>
      <c r="GR13">
        <v>-1</v>
      </c>
    </row>
    <row r="14" spans="1:200" x14ac:dyDescent="0.2">
      <c r="A14">
        <f>ROW(Source!A30)</f>
        <v>30</v>
      </c>
      <c r="B14">
        <v>62803416</v>
      </c>
      <c r="C14">
        <v>62803493</v>
      </c>
      <c r="D14">
        <v>27441334</v>
      </c>
      <c r="E14">
        <v>1</v>
      </c>
      <c r="F14">
        <v>1</v>
      </c>
      <c r="G14">
        <v>1</v>
      </c>
      <c r="H14">
        <v>2</v>
      </c>
      <c r="I14" t="s">
        <v>188</v>
      </c>
      <c r="J14" t="s">
        <v>189</v>
      </c>
      <c r="K14" t="s">
        <v>190</v>
      </c>
      <c r="L14">
        <v>1368</v>
      </c>
      <c r="N14">
        <v>1011</v>
      </c>
      <c r="O14" t="s">
        <v>178</v>
      </c>
      <c r="P14" t="s">
        <v>178</v>
      </c>
      <c r="Q14">
        <v>1</v>
      </c>
      <c r="W14">
        <v>0</v>
      </c>
      <c r="X14">
        <v>-1565846336</v>
      </c>
      <c r="Y14">
        <v>0.08</v>
      </c>
      <c r="AA14">
        <v>0</v>
      </c>
      <c r="AB14">
        <v>741.44</v>
      </c>
      <c r="AC14">
        <v>214.28</v>
      </c>
      <c r="AD14">
        <v>0</v>
      </c>
      <c r="AE14">
        <v>0</v>
      </c>
      <c r="AF14">
        <v>115.67</v>
      </c>
      <c r="AG14">
        <v>11.69</v>
      </c>
      <c r="AH14">
        <v>0</v>
      </c>
      <c r="AI14">
        <v>1</v>
      </c>
      <c r="AJ14">
        <v>6.41</v>
      </c>
      <c r="AK14">
        <v>18.329999999999998</v>
      </c>
      <c r="AL14">
        <v>1</v>
      </c>
      <c r="AN14">
        <v>0</v>
      </c>
      <c r="AO14">
        <v>1</v>
      </c>
      <c r="AP14">
        <v>0</v>
      </c>
      <c r="AQ14">
        <v>0</v>
      </c>
      <c r="AR14">
        <v>0</v>
      </c>
      <c r="AS14" t="s">
        <v>6</v>
      </c>
      <c r="AT14">
        <v>0.08</v>
      </c>
      <c r="AU14" t="s">
        <v>6</v>
      </c>
      <c r="AV14">
        <v>0</v>
      </c>
      <c r="AW14">
        <v>2</v>
      </c>
      <c r="AX14">
        <v>62807351</v>
      </c>
      <c r="AY14">
        <v>1</v>
      </c>
      <c r="AZ14">
        <v>0</v>
      </c>
      <c r="BA14">
        <v>15</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X14">
        <f>Y14*Source!I30</f>
        <v>0.25605600000000001</v>
      </c>
      <c r="CY14">
        <f>AB14</f>
        <v>741.44</v>
      </c>
      <c r="CZ14">
        <f>AF14</f>
        <v>115.67</v>
      </c>
      <c r="DA14">
        <f>AJ14</f>
        <v>6.41</v>
      </c>
      <c r="DB14">
        <f t="shared" si="0"/>
        <v>9.25</v>
      </c>
      <c r="DC14">
        <f t="shared" si="1"/>
        <v>0.94</v>
      </c>
      <c r="DH14">
        <f>Source!I30*SmtRes!Y14</f>
        <v>0.25605600000000001</v>
      </c>
      <c r="DI14">
        <f>AB14</f>
        <v>741.44</v>
      </c>
      <c r="DJ14">
        <f>EtalonRes!Z15</f>
        <v>115.67</v>
      </c>
      <c r="DK14">
        <f>Source!BB30</f>
        <v>6.41</v>
      </c>
      <c r="GQ14">
        <v>-1</v>
      </c>
      <c r="GR14">
        <v>-1</v>
      </c>
    </row>
    <row r="15" spans="1:200" x14ac:dyDescent="0.2">
      <c r="A15">
        <f>ROW(Source!A31)</f>
        <v>31</v>
      </c>
      <c r="B15">
        <v>62803415</v>
      </c>
      <c r="C15">
        <v>62803503</v>
      </c>
      <c r="D15">
        <v>27493207</v>
      </c>
      <c r="E15">
        <v>1</v>
      </c>
      <c r="F15">
        <v>1</v>
      </c>
      <c r="G15">
        <v>1</v>
      </c>
      <c r="H15">
        <v>1</v>
      </c>
      <c r="I15" t="s">
        <v>182</v>
      </c>
      <c r="J15" t="s">
        <v>6</v>
      </c>
      <c r="K15" t="s">
        <v>183</v>
      </c>
      <c r="L15">
        <v>1369</v>
      </c>
      <c r="N15">
        <v>1013</v>
      </c>
      <c r="O15" t="s">
        <v>184</v>
      </c>
      <c r="P15" t="s">
        <v>184</v>
      </c>
      <c r="Q15">
        <v>1</v>
      </c>
      <c r="W15">
        <v>0</v>
      </c>
      <c r="X15">
        <v>-1900352537</v>
      </c>
      <c r="Y15">
        <v>184.79999999999998</v>
      </c>
      <c r="AA15">
        <v>0</v>
      </c>
      <c r="AB15">
        <v>0</v>
      </c>
      <c r="AC15">
        <v>0</v>
      </c>
      <c r="AD15">
        <v>7.87</v>
      </c>
      <c r="AE15">
        <v>0</v>
      </c>
      <c r="AF15">
        <v>0</v>
      </c>
      <c r="AG15">
        <v>0</v>
      </c>
      <c r="AH15">
        <v>7.87</v>
      </c>
      <c r="AI15">
        <v>1</v>
      </c>
      <c r="AJ15">
        <v>1</v>
      </c>
      <c r="AK15">
        <v>1</v>
      </c>
      <c r="AL15">
        <v>1</v>
      </c>
      <c r="AN15">
        <v>0</v>
      </c>
      <c r="AO15">
        <v>1</v>
      </c>
      <c r="AP15">
        <v>1</v>
      </c>
      <c r="AQ15">
        <v>0</v>
      </c>
      <c r="AR15">
        <v>0</v>
      </c>
      <c r="AS15" t="s">
        <v>6</v>
      </c>
      <c r="AT15">
        <v>154</v>
      </c>
      <c r="AU15" t="s">
        <v>43</v>
      </c>
      <c r="AV15">
        <v>1</v>
      </c>
      <c r="AW15">
        <v>2</v>
      </c>
      <c r="AX15">
        <v>62807088</v>
      </c>
      <c r="AY15">
        <v>1</v>
      </c>
      <c r="AZ15">
        <v>0</v>
      </c>
      <c r="BA15">
        <v>17</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X15">
        <f>Y15*Source!I31</f>
        <v>266.50007999999997</v>
      </c>
      <c r="CY15">
        <f>AD15</f>
        <v>7.87</v>
      </c>
      <c r="CZ15">
        <f>AH15</f>
        <v>7.87</v>
      </c>
      <c r="DA15">
        <f>AL15</f>
        <v>1</v>
      </c>
      <c r="DB15">
        <f>ROUND((ROUND(AT15*CZ15,2)*1.2),2)</f>
        <v>1454.38</v>
      </c>
      <c r="DC15">
        <f>ROUND((ROUND(AT15*AG15,2)*1.2),2)</f>
        <v>0</v>
      </c>
      <c r="DH15">
        <f>Source!I31*SmtRes!Y15</f>
        <v>266.50007999999997</v>
      </c>
      <c r="DI15">
        <f>AD15</f>
        <v>7.87</v>
      </c>
      <c r="DJ15">
        <f>EtalonRes!AB17</f>
        <v>7.87</v>
      </c>
      <c r="DK15">
        <f>Source!BA31</f>
        <v>1</v>
      </c>
      <c r="GQ15">
        <v>-1</v>
      </c>
      <c r="GR15">
        <v>-1</v>
      </c>
    </row>
    <row r="16" spans="1:200" x14ac:dyDescent="0.2">
      <c r="A16">
        <f>ROW(Source!A32)</f>
        <v>32</v>
      </c>
      <c r="B16">
        <v>62803416</v>
      </c>
      <c r="C16">
        <v>62803503</v>
      </c>
      <c r="D16">
        <v>27493207</v>
      </c>
      <c r="E16">
        <v>1</v>
      </c>
      <c r="F16">
        <v>1</v>
      </c>
      <c r="G16">
        <v>1</v>
      </c>
      <c r="H16">
        <v>1</v>
      </c>
      <c r="I16" t="s">
        <v>182</v>
      </c>
      <c r="J16" t="s">
        <v>6</v>
      </c>
      <c r="K16" t="s">
        <v>183</v>
      </c>
      <c r="L16">
        <v>1369</v>
      </c>
      <c r="N16">
        <v>1013</v>
      </c>
      <c r="O16" t="s">
        <v>184</v>
      </c>
      <c r="P16" t="s">
        <v>184</v>
      </c>
      <c r="Q16">
        <v>1</v>
      </c>
      <c r="W16">
        <v>0</v>
      </c>
      <c r="X16">
        <v>-1900352537</v>
      </c>
      <c r="Y16">
        <v>184.79999999999998</v>
      </c>
      <c r="AA16">
        <v>0</v>
      </c>
      <c r="AB16">
        <v>0</v>
      </c>
      <c r="AC16">
        <v>0</v>
      </c>
      <c r="AD16">
        <v>199.35</v>
      </c>
      <c r="AE16">
        <v>0</v>
      </c>
      <c r="AF16">
        <v>0</v>
      </c>
      <c r="AG16">
        <v>0</v>
      </c>
      <c r="AH16">
        <v>7.87</v>
      </c>
      <c r="AI16">
        <v>1</v>
      </c>
      <c r="AJ16">
        <v>1</v>
      </c>
      <c r="AK16">
        <v>1</v>
      </c>
      <c r="AL16">
        <v>25.33</v>
      </c>
      <c r="AN16">
        <v>0</v>
      </c>
      <c r="AO16">
        <v>1</v>
      </c>
      <c r="AP16">
        <v>1</v>
      </c>
      <c r="AQ16">
        <v>0</v>
      </c>
      <c r="AR16">
        <v>0</v>
      </c>
      <c r="AS16" t="s">
        <v>6</v>
      </c>
      <c r="AT16">
        <v>154</v>
      </c>
      <c r="AU16" t="s">
        <v>43</v>
      </c>
      <c r="AV16">
        <v>1</v>
      </c>
      <c r="AW16">
        <v>2</v>
      </c>
      <c r="AX16">
        <v>62807088</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X16">
        <f>Y16*Source!I32</f>
        <v>266.50007999999997</v>
      </c>
      <c r="CY16">
        <f>AD16</f>
        <v>199.35</v>
      </c>
      <c r="CZ16">
        <f>AH16</f>
        <v>7.87</v>
      </c>
      <c r="DA16">
        <f>AL16</f>
        <v>25.33</v>
      </c>
      <c r="DB16">
        <f>ROUND((ROUND(AT16*CZ16,2)*1.2),2)</f>
        <v>1454.38</v>
      </c>
      <c r="DC16">
        <f>ROUND((ROUND(AT16*AG16,2)*1.2),2)</f>
        <v>0</v>
      </c>
      <c r="DH16">
        <f>Source!I32*SmtRes!Y16</f>
        <v>266.50007999999997</v>
      </c>
      <c r="DI16">
        <f>AD16</f>
        <v>199.35</v>
      </c>
      <c r="DJ16">
        <f>EtalonRes!AB18</f>
        <v>7.87</v>
      </c>
      <c r="DK16">
        <f>Source!BA32</f>
        <v>25.33</v>
      </c>
      <c r="GQ16">
        <v>-1</v>
      </c>
      <c r="GR16">
        <v>-1</v>
      </c>
    </row>
  </sheetData>
  <printOptions gridLines="1"/>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9.140625" defaultRowHeight="12.75" x14ac:dyDescent="0.2"/>
  <cols>
    <col min="1" max="256" width="9.140625" customWidth="1"/>
  </cols>
  <sheetData>
    <row r="1" spans="1:44" x14ac:dyDescent="0.2">
      <c r="A1">
        <f>ROW(Source!A25)</f>
        <v>25</v>
      </c>
      <c r="B1">
        <v>62803663</v>
      </c>
      <c r="C1">
        <v>62803480</v>
      </c>
      <c r="D1">
        <v>121548</v>
      </c>
      <c r="E1">
        <v>1</v>
      </c>
      <c r="F1">
        <v>1</v>
      </c>
      <c r="G1">
        <v>1</v>
      </c>
      <c r="H1">
        <v>1</v>
      </c>
      <c r="I1" t="s">
        <v>25</v>
      </c>
      <c r="J1" t="s">
        <v>6</v>
      </c>
      <c r="K1" t="s">
        <v>173</v>
      </c>
      <c r="L1">
        <v>608254</v>
      </c>
      <c r="N1">
        <v>1013</v>
      </c>
      <c r="O1" t="s">
        <v>174</v>
      </c>
      <c r="P1" t="s">
        <v>174</v>
      </c>
      <c r="Q1">
        <v>1</v>
      </c>
      <c r="X1">
        <v>25.96</v>
      </c>
      <c r="Y1">
        <v>0</v>
      </c>
      <c r="Z1">
        <v>0</v>
      </c>
      <c r="AA1">
        <v>0</v>
      </c>
      <c r="AB1">
        <v>0</v>
      </c>
      <c r="AC1">
        <v>0</v>
      </c>
      <c r="AD1">
        <v>1</v>
      </c>
      <c r="AE1">
        <v>2</v>
      </c>
      <c r="AF1" t="s">
        <v>6</v>
      </c>
      <c r="AG1">
        <v>25.96</v>
      </c>
      <c r="AH1">
        <v>2</v>
      </c>
      <c r="AI1">
        <v>62803663</v>
      </c>
      <c r="AJ1">
        <v>1</v>
      </c>
      <c r="AK1">
        <v>0</v>
      </c>
      <c r="AL1">
        <v>0</v>
      </c>
      <c r="AM1">
        <v>0</v>
      </c>
      <c r="AN1">
        <v>0</v>
      </c>
      <c r="AO1">
        <v>0</v>
      </c>
      <c r="AP1">
        <v>0</v>
      </c>
      <c r="AQ1">
        <v>0</v>
      </c>
      <c r="AR1">
        <v>0</v>
      </c>
    </row>
    <row r="2" spans="1:44" x14ac:dyDescent="0.2">
      <c r="A2">
        <f>ROW(Source!A25)</f>
        <v>25</v>
      </c>
      <c r="B2">
        <v>62803664</v>
      </c>
      <c r="C2">
        <v>62803480</v>
      </c>
      <c r="D2">
        <v>27439781</v>
      </c>
      <c r="E2">
        <v>1</v>
      </c>
      <c r="F2">
        <v>1</v>
      </c>
      <c r="G2">
        <v>1</v>
      </c>
      <c r="H2">
        <v>2</v>
      </c>
      <c r="I2" t="s">
        <v>175</v>
      </c>
      <c r="J2" t="s">
        <v>176</v>
      </c>
      <c r="K2" t="s">
        <v>177</v>
      </c>
      <c r="L2">
        <v>1368</v>
      </c>
      <c r="N2">
        <v>1011</v>
      </c>
      <c r="O2" t="s">
        <v>178</v>
      </c>
      <c r="P2" t="s">
        <v>178</v>
      </c>
      <c r="Q2">
        <v>1</v>
      </c>
      <c r="X2">
        <v>25.96</v>
      </c>
      <c r="Y2">
        <v>0</v>
      </c>
      <c r="Z2">
        <v>122</v>
      </c>
      <c r="AA2">
        <v>13.61</v>
      </c>
      <c r="AB2">
        <v>0</v>
      </c>
      <c r="AC2">
        <v>0</v>
      </c>
      <c r="AD2">
        <v>1</v>
      </c>
      <c r="AE2">
        <v>0</v>
      </c>
      <c r="AF2" t="s">
        <v>6</v>
      </c>
      <c r="AG2">
        <v>25.96</v>
      </c>
      <c r="AH2">
        <v>2</v>
      </c>
      <c r="AI2">
        <v>62803664</v>
      </c>
      <c r="AJ2">
        <v>2</v>
      </c>
      <c r="AK2">
        <v>0</v>
      </c>
      <c r="AL2">
        <v>0</v>
      </c>
      <c r="AM2">
        <v>0</v>
      </c>
      <c r="AN2">
        <v>0</v>
      </c>
      <c r="AO2">
        <v>0</v>
      </c>
      <c r="AP2">
        <v>0</v>
      </c>
      <c r="AQ2">
        <v>0</v>
      </c>
      <c r="AR2">
        <v>0</v>
      </c>
    </row>
    <row r="3" spans="1:44" x14ac:dyDescent="0.2">
      <c r="A3">
        <f>ROW(Source!A26)</f>
        <v>26</v>
      </c>
      <c r="B3">
        <v>62803663</v>
      </c>
      <c r="C3">
        <v>62803480</v>
      </c>
      <c r="D3">
        <v>121548</v>
      </c>
      <c r="E3">
        <v>1</v>
      </c>
      <c r="F3">
        <v>1</v>
      </c>
      <c r="G3">
        <v>1</v>
      </c>
      <c r="H3">
        <v>1</v>
      </c>
      <c r="I3" t="s">
        <v>25</v>
      </c>
      <c r="J3" t="s">
        <v>6</v>
      </c>
      <c r="K3" t="s">
        <v>173</v>
      </c>
      <c r="L3">
        <v>608254</v>
      </c>
      <c r="N3">
        <v>1013</v>
      </c>
      <c r="O3" t="s">
        <v>174</v>
      </c>
      <c r="P3" t="s">
        <v>174</v>
      </c>
      <c r="Q3">
        <v>1</v>
      </c>
      <c r="X3">
        <v>25.96</v>
      </c>
      <c r="Y3">
        <v>0</v>
      </c>
      <c r="Z3">
        <v>0</v>
      </c>
      <c r="AA3">
        <v>0</v>
      </c>
      <c r="AB3">
        <v>0</v>
      </c>
      <c r="AC3">
        <v>0</v>
      </c>
      <c r="AD3">
        <v>1</v>
      </c>
      <c r="AE3">
        <v>2</v>
      </c>
      <c r="AF3" t="s">
        <v>6</v>
      </c>
      <c r="AG3">
        <v>25.96</v>
      </c>
      <c r="AH3">
        <v>2</v>
      </c>
      <c r="AI3">
        <v>62803663</v>
      </c>
      <c r="AJ3">
        <v>3</v>
      </c>
      <c r="AK3">
        <v>0</v>
      </c>
      <c r="AL3">
        <v>0</v>
      </c>
      <c r="AM3">
        <v>0</v>
      </c>
      <c r="AN3">
        <v>0</v>
      </c>
      <c r="AO3">
        <v>0</v>
      </c>
      <c r="AP3">
        <v>0</v>
      </c>
      <c r="AQ3">
        <v>0</v>
      </c>
      <c r="AR3">
        <v>0</v>
      </c>
    </row>
    <row r="4" spans="1:44" x14ac:dyDescent="0.2">
      <c r="A4">
        <f>ROW(Source!A26)</f>
        <v>26</v>
      </c>
      <c r="B4">
        <v>62803664</v>
      </c>
      <c r="C4">
        <v>62803480</v>
      </c>
      <c r="D4">
        <v>27439781</v>
      </c>
      <c r="E4">
        <v>1</v>
      </c>
      <c r="F4">
        <v>1</v>
      </c>
      <c r="G4">
        <v>1</v>
      </c>
      <c r="H4">
        <v>2</v>
      </c>
      <c r="I4" t="s">
        <v>175</v>
      </c>
      <c r="J4" t="s">
        <v>176</v>
      </c>
      <c r="K4" t="s">
        <v>177</v>
      </c>
      <c r="L4">
        <v>1368</v>
      </c>
      <c r="N4">
        <v>1011</v>
      </c>
      <c r="O4" t="s">
        <v>178</v>
      </c>
      <c r="P4" t="s">
        <v>178</v>
      </c>
      <c r="Q4">
        <v>1</v>
      </c>
      <c r="X4">
        <v>25.96</v>
      </c>
      <c r="Y4">
        <v>0</v>
      </c>
      <c r="Z4">
        <v>122</v>
      </c>
      <c r="AA4">
        <v>13.61</v>
      </c>
      <c r="AB4">
        <v>0</v>
      </c>
      <c r="AC4">
        <v>0</v>
      </c>
      <c r="AD4">
        <v>1</v>
      </c>
      <c r="AE4">
        <v>0</v>
      </c>
      <c r="AF4" t="s">
        <v>6</v>
      </c>
      <c r="AG4">
        <v>25.96</v>
      </c>
      <c r="AH4">
        <v>2</v>
      </c>
      <c r="AI4">
        <v>62803664</v>
      </c>
      <c r="AJ4">
        <v>4</v>
      </c>
      <c r="AK4">
        <v>0</v>
      </c>
      <c r="AL4">
        <v>0</v>
      </c>
      <c r="AM4">
        <v>0</v>
      </c>
      <c r="AN4">
        <v>0</v>
      </c>
      <c r="AO4">
        <v>0</v>
      </c>
      <c r="AP4">
        <v>0</v>
      </c>
      <c r="AQ4">
        <v>0</v>
      </c>
      <c r="AR4">
        <v>0</v>
      </c>
    </row>
    <row r="5" spans="1:44" x14ac:dyDescent="0.2">
      <c r="A5">
        <f>ROW(Source!A27)</f>
        <v>27</v>
      </c>
      <c r="B5">
        <v>62803492</v>
      </c>
      <c r="C5">
        <v>62803490</v>
      </c>
      <c r="D5">
        <v>27441335</v>
      </c>
      <c r="E5">
        <v>1</v>
      </c>
      <c r="F5">
        <v>1</v>
      </c>
      <c r="G5">
        <v>1</v>
      </c>
      <c r="H5">
        <v>2</v>
      </c>
      <c r="I5" t="s">
        <v>179</v>
      </c>
      <c r="J5" t="s">
        <v>180</v>
      </c>
      <c r="K5" t="s">
        <v>181</v>
      </c>
      <c r="L5">
        <v>1368</v>
      </c>
      <c r="N5">
        <v>1011</v>
      </c>
      <c r="O5" t="s">
        <v>178</v>
      </c>
      <c r="P5" t="s">
        <v>178</v>
      </c>
      <c r="Q5">
        <v>1</v>
      </c>
      <c r="X5">
        <v>2.5899999999999999E-2</v>
      </c>
      <c r="Y5">
        <v>0</v>
      </c>
      <c r="Z5">
        <v>114.93</v>
      </c>
      <c r="AA5">
        <v>13.61</v>
      </c>
      <c r="AB5">
        <v>0</v>
      </c>
      <c r="AC5">
        <v>0</v>
      </c>
      <c r="AD5">
        <v>1</v>
      </c>
      <c r="AE5">
        <v>0</v>
      </c>
      <c r="AF5" t="s">
        <v>6</v>
      </c>
      <c r="AG5">
        <v>2.5899999999999999E-2</v>
      </c>
      <c r="AH5">
        <v>2</v>
      </c>
      <c r="AI5">
        <v>62803491</v>
      </c>
      <c r="AJ5">
        <v>5</v>
      </c>
      <c r="AK5">
        <v>0</v>
      </c>
      <c r="AL5">
        <v>0</v>
      </c>
      <c r="AM5">
        <v>0</v>
      </c>
      <c r="AN5">
        <v>0</v>
      </c>
      <c r="AO5">
        <v>0</v>
      </c>
      <c r="AP5">
        <v>0</v>
      </c>
      <c r="AQ5">
        <v>0</v>
      </c>
      <c r="AR5">
        <v>0</v>
      </c>
    </row>
    <row r="6" spans="1:44" x14ac:dyDescent="0.2">
      <c r="A6">
        <f>ROW(Source!A28)</f>
        <v>28</v>
      </c>
      <c r="B6">
        <v>62803492</v>
      </c>
      <c r="C6">
        <v>62803490</v>
      </c>
      <c r="D6">
        <v>27441335</v>
      </c>
      <c r="E6">
        <v>1</v>
      </c>
      <c r="F6">
        <v>1</v>
      </c>
      <c r="G6">
        <v>1</v>
      </c>
      <c r="H6">
        <v>2</v>
      </c>
      <c r="I6" t="s">
        <v>179</v>
      </c>
      <c r="J6" t="s">
        <v>180</v>
      </c>
      <c r="K6" t="s">
        <v>181</v>
      </c>
      <c r="L6">
        <v>1368</v>
      </c>
      <c r="N6">
        <v>1011</v>
      </c>
      <c r="O6" t="s">
        <v>178</v>
      </c>
      <c r="P6" t="s">
        <v>178</v>
      </c>
      <c r="Q6">
        <v>1</v>
      </c>
      <c r="X6">
        <v>2.5899999999999999E-2</v>
      </c>
      <c r="Y6">
        <v>0</v>
      </c>
      <c r="Z6">
        <v>114.93</v>
      </c>
      <c r="AA6">
        <v>13.61</v>
      </c>
      <c r="AB6">
        <v>0</v>
      </c>
      <c r="AC6">
        <v>0</v>
      </c>
      <c r="AD6">
        <v>1</v>
      </c>
      <c r="AE6">
        <v>0</v>
      </c>
      <c r="AF6" t="s">
        <v>6</v>
      </c>
      <c r="AG6">
        <v>2.5899999999999999E-2</v>
      </c>
      <c r="AH6">
        <v>2</v>
      </c>
      <c r="AI6">
        <v>62803491</v>
      </c>
      <c r="AJ6">
        <v>6</v>
      </c>
      <c r="AK6">
        <v>0</v>
      </c>
      <c r="AL6">
        <v>0</v>
      </c>
      <c r="AM6">
        <v>0</v>
      </c>
      <c r="AN6">
        <v>0</v>
      </c>
      <c r="AO6">
        <v>0</v>
      </c>
      <c r="AP6">
        <v>0</v>
      </c>
      <c r="AQ6">
        <v>0</v>
      </c>
      <c r="AR6">
        <v>0</v>
      </c>
    </row>
    <row r="7" spans="1:44" x14ac:dyDescent="0.2">
      <c r="A7">
        <f>ROW(Source!A29)</f>
        <v>29</v>
      </c>
      <c r="B7">
        <v>62807348</v>
      </c>
      <c r="C7">
        <v>62803493</v>
      </c>
      <c r="D7">
        <v>27493207</v>
      </c>
      <c r="E7">
        <v>1</v>
      </c>
      <c r="F7">
        <v>1</v>
      </c>
      <c r="G7">
        <v>1</v>
      </c>
      <c r="H7">
        <v>1</v>
      </c>
      <c r="I7" t="s">
        <v>182</v>
      </c>
      <c r="J7" t="s">
        <v>6</v>
      </c>
      <c r="K7" t="s">
        <v>183</v>
      </c>
      <c r="L7">
        <v>1369</v>
      </c>
      <c r="N7">
        <v>1013</v>
      </c>
      <c r="O7" t="s">
        <v>184</v>
      </c>
      <c r="P7" t="s">
        <v>184</v>
      </c>
      <c r="Q7">
        <v>1</v>
      </c>
      <c r="X7">
        <v>3.65</v>
      </c>
      <c r="Y7">
        <v>0</v>
      </c>
      <c r="Z7">
        <v>0</v>
      </c>
      <c r="AA7">
        <v>0</v>
      </c>
      <c r="AB7">
        <v>7.87</v>
      </c>
      <c r="AC7">
        <v>0</v>
      </c>
      <c r="AD7">
        <v>1</v>
      </c>
      <c r="AE7">
        <v>1</v>
      </c>
      <c r="AF7" t="s">
        <v>6</v>
      </c>
      <c r="AG7">
        <v>3.65</v>
      </c>
      <c r="AH7">
        <v>2</v>
      </c>
      <c r="AI7">
        <v>62807348</v>
      </c>
      <c r="AJ7">
        <v>7</v>
      </c>
      <c r="AK7">
        <v>0</v>
      </c>
      <c r="AL7">
        <v>0</v>
      </c>
      <c r="AM7">
        <v>0</v>
      </c>
      <c r="AN7">
        <v>0</v>
      </c>
      <c r="AO7">
        <v>0</v>
      </c>
      <c r="AP7">
        <v>0</v>
      </c>
      <c r="AQ7">
        <v>0</v>
      </c>
      <c r="AR7">
        <v>0</v>
      </c>
    </row>
    <row r="8" spans="1:44" x14ac:dyDescent="0.2">
      <c r="A8">
        <f>ROW(Source!A29)</f>
        <v>29</v>
      </c>
      <c r="B8">
        <v>62807349</v>
      </c>
      <c r="C8">
        <v>62803493</v>
      </c>
      <c r="D8">
        <v>121548</v>
      </c>
      <c r="E8">
        <v>1</v>
      </c>
      <c r="F8">
        <v>1</v>
      </c>
      <c r="G8">
        <v>1</v>
      </c>
      <c r="H8">
        <v>1</v>
      </c>
      <c r="I8" t="s">
        <v>25</v>
      </c>
      <c r="J8" t="s">
        <v>6</v>
      </c>
      <c r="K8" t="s">
        <v>173</v>
      </c>
      <c r="L8">
        <v>608254</v>
      </c>
      <c r="N8">
        <v>1013</v>
      </c>
      <c r="O8" t="s">
        <v>174</v>
      </c>
      <c r="P8" t="s">
        <v>174</v>
      </c>
      <c r="Q8">
        <v>1</v>
      </c>
      <c r="X8">
        <v>3.97</v>
      </c>
      <c r="Y8">
        <v>0</v>
      </c>
      <c r="Z8">
        <v>0</v>
      </c>
      <c r="AA8">
        <v>0</v>
      </c>
      <c r="AB8">
        <v>0</v>
      </c>
      <c r="AC8">
        <v>0</v>
      </c>
      <c r="AD8">
        <v>1</v>
      </c>
      <c r="AE8">
        <v>2</v>
      </c>
      <c r="AF8" t="s">
        <v>6</v>
      </c>
      <c r="AG8">
        <v>3.97</v>
      </c>
      <c r="AH8">
        <v>2</v>
      </c>
      <c r="AI8">
        <v>62807349</v>
      </c>
      <c r="AJ8">
        <v>8</v>
      </c>
      <c r="AK8">
        <v>0</v>
      </c>
      <c r="AL8">
        <v>0</v>
      </c>
      <c r="AM8">
        <v>0</v>
      </c>
      <c r="AN8">
        <v>0</v>
      </c>
      <c r="AO8">
        <v>0</v>
      </c>
      <c r="AP8">
        <v>0</v>
      </c>
      <c r="AQ8">
        <v>0</v>
      </c>
      <c r="AR8">
        <v>0</v>
      </c>
    </row>
    <row r="9" spans="1:44" x14ac:dyDescent="0.2">
      <c r="A9">
        <f>ROW(Source!A29)</f>
        <v>29</v>
      </c>
      <c r="B9">
        <v>62807350</v>
      </c>
      <c r="C9">
        <v>62803493</v>
      </c>
      <c r="D9">
        <v>27439851</v>
      </c>
      <c r="E9">
        <v>1</v>
      </c>
      <c r="F9">
        <v>1</v>
      </c>
      <c r="G9">
        <v>1</v>
      </c>
      <c r="H9">
        <v>2</v>
      </c>
      <c r="I9" t="s">
        <v>185</v>
      </c>
      <c r="J9" t="s">
        <v>186</v>
      </c>
      <c r="K9" t="s">
        <v>187</v>
      </c>
      <c r="L9">
        <v>1368</v>
      </c>
      <c r="N9">
        <v>1011</v>
      </c>
      <c r="O9" t="s">
        <v>178</v>
      </c>
      <c r="P9" t="s">
        <v>178</v>
      </c>
      <c r="Q9">
        <v>1</v>
      </c>
      <c r="X9">
        <v>3.97</v>
      </c>
      <c r="Y9">
        <v>0</v>
      </c>
      <c r="Z9">
        <v>88.79</v>
      </c>
      <c r="AA9">
        <v>13.61</v>
      </c>
      <c r="AB9">
        <v>0</v>
      </c>
      <c r="AC9">
        <v>0</v>
      </c>
      <c r="AD9">
        <v>1</v>
      </c>
      <c r="AE9">
        <v>0</v>
      </c>
      <c r="AF9" t="s">
        <v>6</v>
      </c>
      <c r="AG9">
        <v>3.97</v>
      </c>
      <c r="AH9">
        <v>2</v>
      </c>
      <c r="AI9">
        <v>62807350</v>
      </c>
      <c r="AJ9">
        <v>9</v>
      </c>
      <c r="AK9">
        <v>0</v>
      </c>
      <c r="AL9">
        <v>0</v>
      </c>
      <c r="AM9">
        <v>0</v>
      </c>
      <c r="AN9">
        <v>0</v>
      </c>
      <c r="AO9">
        <v>0</v>
      </c>
      <c r="AP9">
        <v>0</v>
      </c>
      <c r="AQ9">
        <v>0</v>
      </c>
      <c r="AR9">
        <v>0</v>
      </c>
    </row>
    <row r="10" spans="1:44" x14ac:dyDescent="0.2">
      <c r="A10">
        <f>ROW(Source!A29)</f>
        <v>29</v>
      </c>
      <c r="B10">
        <v>62807351</v>
      </c>
      <c r="C10">
        <v>62803493</v>
      </c>
      <c r="D10">
        <v>27441334</v>
      </c>
      <c r="E10">
        <v>1</v>
      </c>
      <c r="F10">
        <v>1</v>
      </c>
      <c r="G10">
        <v>1</v>
      </c>
      <c r="H10">
        <v>2</v>
      </c>
      <c r="I10" t="s">
        <v>188</v>
      </c>
      <c r="J10" t="s">
        <v>189</v>
      </c>
      <c r="K10" t="s">
        <v>190</v>
      </c>
      <c r="L10">
        <v>1368</v>
      </c>
      <c r="N10">
        <v>1011</v>
      </c>
      <c r="O10" t="s">
        <v>178</v>
      </c>
      <c r="P10" t="s">
        <v>178</v>
      </c>
      <c r="Q10">
        <v>1</v>
      </c>
      <c r="X10">
        <v>0.08</v>
      </c>
      <c r="Y10">
        <v>0</v>
      </c>
      <c r="Z10">
        <v>115.67</v>
      </c>
      <c r="AA10">
        <v>11.69</v>
      </c>
      <c r="AB10">
        <v>0</v>
      </c>
      <c r="AC10">
        <v>0</v>
      </c>
      <c r="AD10">
        <v>1</v>
      </c>
      <c r="AE10">
        <v>0</v>
      </c>
      <c r="AF10" t="s">
        <v>6</v>
      </c>
      <c r="AG10">
        <v>0.08</v>
      </c>
      <c r="AH10">
        <v>2</v>
      </c>
      <c r="AI10">
        <v>62807351</v>
      </c>
      <c r="AJ10">
        <v>10</v>
      </c>
      <c r="AK10">
        <v>0</v>
      </c>
      <c r="AL10">
        <v>0</v>
      </c>
      <c r="AM10">
        <v>0</v>
      </c>
      <c r="AN10">
        <v>0</v>
      </c>
      <c r="AO10">
        <v>0</v>
      </c>
      <c r="AP10">
        <v>0</v>
      </c>
      <c r="AQ10">
        <v>0</v>
      </c>
      <c r="AR10">
        <v>0</v>
      </c>
    </row>
    <row r="11" spans="1:44" x14ac:dyDescent="0.2">
      <c r="A11">
        <f>ROW(Source!A29)</f>
        <v>29</v>
      </c>
      <c r="B11">
        <v>62807352</v>
      </c>
      <c r="C11">
        <v>62803493</v>
      </c>
      <c r="D11">
        <v>27415978</v>
      </c>
      <c r="E11">
        <v>1</v>
      </c>
      <c r="F11">
        <v>1</v>
      </c>
      <c r="G11">
        <v>1</v>
      </c>
      <c r="H11">
        <v>3</v>
      </c>
      <c r="I11" t="s">
        <v>191</v>
      </c>
      <c r="J11" t="s">
        <v>192</v>
      </c>
      <c r="K11" t="s">
        <v>193</v>
      </c>
      <c r="L11">
        <v>1339</v>
      </c>
      <c r="N11">
        <v>1007</v>
      </c>
      <c r="O11" t="s">
        <v>194</v>
      </c>
      <c r="P11" t="s">
        <v>194</v>
      </c>
      <c r="Q11">
        <v>1</v>
      </c>
      <c r="X11">
        <v>0.04</v>
      </c>
      <c r="Y11">
        <v>109</v>
      </c>
      <c r="Z11">
        <v>0</v>
      </c>
      <c r="AA11">
        <v>0</v>
      </c>
      <c r="AB11">
        <v>0</v>
      </c>
      <c r="AC11">
        <v>0</v>
      </c>
      <c r="AD11">
        <v>1</v>
      </c>
      <c r="AE11">
        <v>0</v>
      </c>
      <c r="AF11" t="s">
        <v>6</v>
      </c>
      <c r="AG11">
        <v>0.04</v>
      </c>
      <c r="AH11">
        <v>3</v>
      </c>
      <c r="AI11">
        <v>-1</v>
      </c>
      <c r="AJ11" t="s">
        <v>6</v>
      </c>
      <c r="AK11">
        <v>4</v>
      </c>
      <c r="AL11">
        <v>-4.3600000000000003</v>
      </c>
      <c r="AM11">
        <v>0</v>
      </c>
      <c r="AN11">
        <v>0</v>
      </c>
      <c r="AO11">
        <v>0</v>
      </c>
      <c r="AP11">
        <v>0</v>
      </c>
      <c r="AQ11">
        <v>0</v>
      </c>
      <c r="AR11">
        <v>1</v>
      </c>
    </row>
    <row r="12" spans="1:44" x14ac:dyDescent="0.2">
      <c r="A12">
        <f>ROW(Source!A30)</f>
        <v>30</v>
      </c>
      <c r="B12">
        <v>62807348</v>
      </c>
      <c r="C12">
        <v>62803493</v>
      </c>
      <c r="D12">
        <v>27493207</v>
      </c>
      <c r="E12">
        <v>1</v>
      </c>
      <c r="F12">
        <v>1</v>
      </c>
      <c r="G12">
        <v>1</v>
      </c>
      <c r="H12">
        <v>1</v>
      </c>
      <c r="I12" t="s">
        <v>182</v>
      </c>
      <c r="J12" t="s">
        <v>6</v>
      </c>
      <c r="K12" t="s">
        <v>183</v>
      </c>
      <c r="L12">
        <v>1369</v>
      </c>
      <c r="N12">
        <v>1013</v>
      </c>
      <c r="O12" t="s">
        <v>184</v>
      </c>
      <c r="P12" t="s">
        <v>184</v>
      </c>
      <c r="Q12">
        <v>1</v>
      </c>
      <c r="X12">
        <v>3.65</v>
      </c>
      <c r="Y12">
        <v>0</v>
      </c>
      <c r="Z12">
        <v>0</v>
      </c>
      <c r="AA12">
        <v>0</v>
      </c>
      <c r="AB12">
        <v>7.87</v>
      </c>
      <c r="AC12">
        <v>0</v>
      </c>
      <c r="AD12">
        <v>1</v>
      </c>
      <c r="AE12">
        <v>1</v>
      </c>
      <c r="AF12" t="s">
        <v>6</v>
      </c>
      <c r="AG12">
        <v>3.65</v>
      </c>
      <c r="AH12">
        <v>2</v>
      </c>
      <c r="AI12">
        <v>62807348</v>
      </c>
      <c r="AJ12">
        <v>11</v>
      </c>
      <c r="AK12">
        <v>0</v>
      </c>
      <c r="AL12">
        <v>0</v>
      </c>
      <c r="AM12">
        <v>0</v>
      </c>
      <c r="AN12">
        <v>0</v>
      </c>
      <c r="AO12">
        <v>0</v>
      </c>
      <c r="AP12">
        <v>0</v>
      </c>
      <c r="AQ12">
        <v>0</v>
      </c>
      <c r="AR12">
        <v>0</v>
      </c>
    </row>
    <row r="13" spans="1:44" x14ac:dyDescent="0.2">
      <c r="A13">
        <f>ROW(Source!A30)</f>
        <v>30</v>
      </c>
      <c r="B13">
        <v>62807349</v>
      </c>
      <c r="C13">
        <v>62803493</v>
      </c>
      <c r="D13">
        <v>121548</v>
      </c>
      <c r="E13">
        <v>1</v>
      </c>
      <c r="F13">
        <v>1</v>
      </c>
      <c r="G13">
        <v>1</v>
      </c>
      <c r="H13">
        <v>1</v>
      </c>
      <c r="I13" t="s">
        <v>25</v>
      </c>
      <c r="J13" t="s">
        <v>6</v>
      </c>
      <c r="K13" t="s">
        <v>173</v>
      </c>
      <c r="L13">
        <v>608254</v>
      </c>
      <c r="N13">
        <v>1013</v>
      </c>
      <c r="O13" t="s">
        <v>174</v>
      </c>
      <c r="P13" t="s">
        <v>174</v>
      </c>
      <c r="Q13">
        <v>1</v>
      </c>
      <c r="X13">
        <v>3.97</v>
      </c>
      <c r="Y13">
        <v>0</v>
      </c>
      <c r="Z13">
        <v>0</v>
      </c>
      <c r="AA13">
        <v>0</v>
      </c>
      <c r="AB13">
        <v>0</v>
      </c>
      <c r="AC13">
        <v>0</v>
      </c>
      <c r="AD13">
        <v>1</v>
      </c>
      <c r="AE13">
        <v>2</v>
      </c>
      <c r="AF13" t="s">
        <v>6</v>
      </c>
      <c r="AG13">
        <v>3.97</v>
      </c>
      <c r="AH13">
        <v>2</v>
      </c>
      <c r="AI13">
        <v>62807349</v>
      </c>
      <c r="AJ13">
        <v>12</v>
      </c>
      <c r="AK13">
        <v>0</v>
      </c>
      <c r="AL13">
        <v>0</v>
      </c>
      <c r="AM13">
        <v>0</v>
      </c>
      <c r="AN13">
        <v>0</v>
      </c>
      <c r="AO13">
        <v>0</v>
      </c>
      <c r="AP13">
        <v>0</v>
      </c>
      <c r="AQ13">
        <v>0</v>
      </c>
      <c r="AR13">
        <v>0</v>
      </c>
    </row>
    <row r="14" spans="1:44" x14ac:dyDescent="0.2">
      <c r="A14">
        <f>ROW(Source!A30)</f>
        <v>30</v>
      </c>
      <c r="B14">
        <v>62807350</v>
      </c>
      <c r="C14">
        <v>62803493</v>
      </c>
      <c r="D14">
        <v>27439851</v>
      </c>
      <c r="E14">
        <v>1</v>
      </c>
      <c r="F14">
        <v>1</v>
      </c>
      <c r="G14">
        <v>1</v>
      </c>
      <c r="H14">
        <v>2</v>
      </c>
      <c r="I14" t="s">
        <v>185</v>
      </c>
      <c r="J14" t="s">
        <v>186</v>
      </c>
      <c r="K14" t="s">
        <v>187</v>
      </c>
      <c r="L14">
        <v>1368</v>
      </c>
      <c r="N14">
        <v>1011</v>
      </c>
      <c r="O14" t="s">
        <v>178</v>
      </c>
      <c r="P14" t="s">
        <v>178</v>
      </c>
      <c r="Q14">
        <v>1</v>
      </c>
      <c r="X14">
        <v>3.97</v>
      </c>
      <c r="Y14">
        <v>0</v>
      </c>
      <c r="Z14">
        <v>88.79</v>
      </c>
      <c r="AA14">
        <v>13.61</v>
      </c>
      <c r="AB14">
        <v>0</v>
      </c>
      <c r="AC14">
        <v>0</v>
      </c>
      <c r="AD14">
        <v>1</v>
      </c>
      <c r="AE14">
        <v>0</v>
      </c>
      <c r="AF14" t="s">
        <v>6</v>
      </c>
      <c r="AG14">
        <v>3.97</v>
      </c>
      <c r="AH14">
        <v>2</v>
      </c>
      <c r="AI14">
        <v>62807350</v>
      </c>
      <c r="AJ14">
        <v>13</v>
      </c>
      <c r="AK14">
        <v>0</v>
      </c>
      <c r="AL14">
        <v>0</v>
      </c>
      <c r="AM14">
        <v>0</v>
      </c>
      <c r="AN14">
        <v>0</v>
      </c>
      <c r="AO14">
        <v>0</v>
      </c>
      <c r="AP14">
        <v>0</v>
      </c>
      <c r="AQ14">
        <v>0</v>
      </c>
      <c r="AR14">
        <v>0</v>
      </c>
    </row>
    <row r="15" spans="1:44" x14ac:dyDescent="0.2">
      <c r="A15">
        <f>ROW(Source!A30)</f>
        <v>30</v>
      </c>
      <c r="B15">
        <v>62807351</v>
      </c>
      <c r="C15">
        <v>62803493</v>
      </c>
      <c r="D15">
        <v>27441334</v>
      </c>
      <c r="E15">
        <v>1</v>
      </c>
      <c r="F15">
        <v>1</v>
      </c>
      <c r="G15">
        <v>1</v>
      </c>
      <c r="H15">
        <v>2</v>
      </c>
      <c r="I15" t="s">
        <v>188</v>
      </c>
      <c r="J15" t="s">
        <v>189</v>
      </c>
      <c r="K15" t="s">
        <v>190</v>
      </c>
      <c r="L15">
        <v>1368</v>
      </c>
      <c r="N15">
        <v>1011</v>
      </c>
      <c r="O15" t="s">
        <v>178</v>
      </c>
      <c r="P15" t="s">
        <v>178</v>
      </c>
      <c r="Q15">
        <v>1</v>
      </c>
      <c r="X15">
        <v>0.08</v>
      </c>
      <c r="Y15">
        <v>0</v>
      </c>
      <c r="Z15">
        <v>115.67</v>
      </c>
      <c r="AA15">
        <v>11.69</v>
      </c>
      <c r="AB15">
        <v>0</v>
      </c>
      <c r="AC15">
        <v>0</v>
      </c>
      <c r="AD15">
        <v>1</v>
      </c>
      <c r="AE15">
        <v>0</v>
      </c>
      <c r="AF15" t="s">
        <v>6</v>
      </c>
      <c r="AG15">
        <v>0.08</v>
      </c>
      <c r="AH15">
        <v>2</v>
      </c>
      <c r="AI15">
        <v>62807351</v>
      </c>
      <c r="AJ15">
        <v>14</v>
      </c>
      <c r="AK15">
        <v>0</v>
      </c>
      <c r="AL15">
        <v>0</v>
      </c>
      <c r="AM15">
        <v>0</v>
      </c>
      <c r="AN15">
        <v>0</v>
      </c>
      <c r="AO15">
        <v>0</v>
      </c>
      <c r="AP15">
        <v>0</v>
      </c>
      <c r="AQ15">
        <v>0</v>
      </c>
      <c r="AR15">
        <v>0</v>
      </c>
    </row>
    <row r="16" spans="1:44" x14ac:dyDescent="0.2">
      <c r="A16">
        <f>ROW(Source!A30)</f>
        <v>30</v>
      </c>
      <c r="B16">
        <v>62807352</v>
      </c>
      <c r="C16">
        <v>62803493</v>
      </c>
      <c r="D16">
        <v>27415978</v>
      </c>
      <c r="E16">
        <v>1</v>
      </c>
      <c r="F16">
        <v>1</v>
      </c>
      <c r="G16">
        <v>1</v>
      </c>
      <c r="H16">
        <v>3</v>
      </c>
      <c r="I16" t="s">
        <v>191</v>
      </c>
      <c r="J16" t="s">
        <v>192</v>
      </c>
      <c r="K16" t="s">
        <v>193</v>
      </c>
      <c r="L16">
        <v>1339</v>
      </c>
      <c r="N16">
        <v>1007</v>
      </c>
      <c r="O16" t="s">
        <v>194</v>
      </c>
      <c r="P16" t="s">
        <v>194</v>
      </c>
      <c r="Q16">
        <v>1</v>
      </c>
      <c r="X16">
        <v>0.04</v>
      </c>
      <c r="Y16">
        <v>109</v>
      </c>
      <c r="Z16">
        <v>0</v>
      </c>
      <c r="AA16">
        <v>0</v>
      </c>
      <c r="AB16">
        <v>0</v>
      </c>
      <c r="AC16">
        <v>0</v>
      </c>
      <c r="AD16">
        <v>1</v>
      </c>
      <c r="AE16">
        <v>0</v>
      </c>
      <c r="AF16" t="s">
        <v>6</v>
      </c>
      <c r="AG16">
        <v>0.04</v>
      </c>
      <c r="AH16">
        <v>3</v>
      </c>
      <c r="AI16">
        <v>-1</v>
      </c>
      <c r="AJ16" t="s">
        <v>6</v>
      </c>
      <c r="AK16">
        <v>4</v>
      </c>
      <c r="AL16">
        <v>-4.3600000000000003</v>
      </c>
      <c r="AM16">
        <v>0</v>
      </c>
      <c r="AN16">
        <v>0</v>
      </c>
      <c r="AO16">
        <v>0</v>
      </c>
      <c r="AP16">
        <v>0</v>
      </c>
      <c r="AQ16">
        <v>0</v>
      </c>
      <c r="AR16">
        <v>1</v>
      </c>
    </row>
    <row r="17" spans="1:44" x14ac:dyDescent="0.2">
      <c r="A17">
        <f>ROW(Source!A31)</f>
        <v>31</v>
      </c>
      <c r="B17">
        <v>62807088</v>
      </c>
      <c r="C17">
        <v>62803503</v>
      </c>
      <c r="D17">
        <v>27493207</v>
      </c>
      <c r="E17">
        <v>1</v>
      </c>
      <c r="F17">
        <v>1</v>
      </c>
      <c r="G17">
        <v>1</v>
      </c>
      <c r="H17">
        <v>1</v>
      </c>
      <c r="I17" t="s">
        <v>182</v>
      </c>
      <c r="J17" t="s">
        <v>6</v>
      </c>
      <c r="K17" t="s">
        <v>183</v>
      </c>
      <c r="L17">
        <v>1369</v>
      </c>
      <c r="N17">
        <v>1013</v>
      </c>
      <c r="O17" t="s">
        <v>184</v>
      </c>
      <c r="P17" t="s">
        <v>184</v>
      </c>
      <c r="Q17">
        <v>1</v>
      </c>
      <c r="X17">
        <v>154</v>
      </c>
      <c r="Y17">
        <v>0</v>
      </c>
      <c r="Z17">
        <v>0</v>
      </c>
      <c r="AA17">
        <v>0</v>
      </c>
      <c r="AB17">
        <v>7.87</v>
      </c>
      <c r="AC17">
        <v>0</v>
      </c>
      <c r="AD17">
        <v>1</v>
      </c>
      <c r="AE17">
        <v>1</v>
      </c>
      <c r="AF17" t="s">
        <v>43</v>
      </c>
      <c r="AG17">
        <v>184.79999999999998</v>
      </c>
      <c r="AH17">
        <v>2</v>
      </c>
      <c r="AI17">
        <v>62807088</v>
      </c>
      <c r="AJ17">
        <v>15</v>
      </c>
      <c r="AK17">
        <v>0</v>
      </c>
      <c r="AL17">
        <v>0</v>
      </c>
      <c r="AM17">
        <v>0</v>
      </c>
      <c r="AN17">
        <v>0</v>
      </c>
      <c r="AO17">
        <v>0</v>
      </c>
      <c r="AP17">
        <v>0</v>
      </c>
      <c r="AQ17">
        <v>0</v>
      </c>
      <c r="AR17">
        <v>0</v>
      </c>
    </row>
    <row r="18" spans="1:44" x14ac:dyDescent="0.2">
      <c r="A18">
        <f>ROW(Source!A32)</f>
        <v>32</v>
      </c>
      <c r="B18">
        <v>62807088</v>
      </c>
      <c r="C18">
        <v>62803503</v>
      </c>
      <c r="D18">
        <v>27493207</v>
      </c>
      <c r="E18">
        <v>1</v>
      </c>
      <c r="F18">
        <v>1</v>
      </c>
      <c r="G18">
        <v>1</v>
      </c>
      <c r="H18">
        <v>1</v>
      </c>
      <c r="I18" t="s">
        <v>182</v>
      </c>
      <c r="J18" t="s">
        <v>6</v>
      </c>
      <c r="K18" t="s">
        <v>183</v>
      </c>
      <c r="L18">
        <v>1369</v>
      </c>
      <c r="N18">
        <v>1013</v>
      </c>
      <c r="O18" t="s">
        <v>184</v>
      </c>
      <c r="P18" t="s">
        <v>184</v>
      </c>
      <c r="Q18">
        <v>1</v>
      </c>
      <c r="X18">
        <v>154</v>
      </c>
      <c r="Y18">
        <v>0</v>
      </c>
      <c r="Z18">
        <v>0</v>
      </c>
      <c r="AA18">
        <v>0</v>
      </c>
      <c r="AB18">
        <v>7.87</v>
      </c>
      <c r="AC18">
        <v>0</v>
      </c>
      <c r="AD18">
        <v>1</v>
      </c>
      <c r="AE18">
        <v>1</v>
      </c>
      <c r="AF18" t="s">
        <v>43</v>
      </c>
      <c r="AG18">
        <v>184.79999999999998</v>
      </c>
      <c r="AH18">
        <v>2</v>
      </c>
      <c r="AI18">
        <v>62807088</v>
      </c>
      <c r="AJ18">
        <v>16</v>
      </c>
      <c r="AK18">
        <v>0</v>
      </c>
      <c r="AL18">
        <v>0</v>
      </c>
      <c r="AM18">
        <v>0</v>
      </c>
      <c r="AN18">
        <v>0</v>
      </c>
      <c r="AO18">
        <v>0</v>
      </c>
      <c r="AP18">
        <v>0</v>
      </c>
      <c r="AQ18">
        <v>0</v>
      </c>
      <c r="AR18">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8"/>
  <sheetViews>
    <sheetView topLeftCell="A22" workbookViewId="0">
      <selection activeCell="E22" sqref="E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58" t="s">
        <v>211</v>
      </c>
      <c r="B1" s="358"/>
      <c r="C1" s="358"/>
      <c r="D1" s="358"/>
      <c r="E1" s="358"/>
      <c r="F1" s="358"/>
      <c r="G1" s="358"/>
    </row>
    <row r="3" spans="1:255" x14ac:dyDescent="0.2">
      <c r="A3" s="20" t="s">
        <v>218</v>
      </c>
      <c r="B3" s="19"/>
      <c r="C3" s="359"/>
      <c r="D3" s="360"/>
      <c r="E3" s="360"/>
      <c r="F3" s="360"/>
      <c r="G3" s="360"/>
      <c r="BR3" s="22">
        <f>C3</f>
        <v>0</v>
      </c>
      <c r="IU3" s="23"/>
    </row>
    <row r="4" spans="1:255" x14ac:dyDescent="0.2">
      <c r="A4" s="20" t="s">
        <v>220</v>
      </c>
      <c r="B4" s="19"/>
      <c r="C4" s="361"/>
      <c r="D4" s="362"/>
      <c r="E4" s="362"/>
      <c r="F4" s="362"/>
      <c r="G4" s="362"/>
      <c r="BR4" s="22">
        <f>C4</f>
        <v>0</v>
      </c>
      <c r="IU4" s="23"/>
    </row>
    <row r="5" spans="1:255" x14ac:dyDescent="0.2">
      <c r="A5" s="20" t="s">
        <v>221</v>
      </c>
      <c r="B5" s="19"/>
      <c r="C5" s="361"/>
      <c r="D5" s="362"/>
      <c r="E5" s="362"/>
      <c r="F5" s="362"/>
      <c r="G5" s="362"/>
      <c r="BR5" s="22">
        <f>C5</f>
        <v>0</v>
      </c>
      <c r="IU5" s="23"/>
    </row>
    <row r="6" spans="1:255" x14ac:dyDescent="0.2">
      <c r="A6" s="20" t="s">
        <v>222</v>
      </c>
      <c r="B6" s="19"/>
      <c r="C6" s="363"/>
      <c r="D6" s="364"/>
      <c r="E6" s="364"/>
      <c r="F6" s="364"/>
      <c r="G6" s="364"/>
      <c r="BR6" s="22">
        <f>C6</f>
        <v>0</v>
      </c>
      <c r="IU6" s="23"/>
    </row>
    <row r="7" spans="1:255" x14ac:dyDescent="0.2">
      <c r="A7" s="365"/>
      <c r="B7" s="365"/>
      <c r="C7" s="365"/>
      <c r="D7" s="365"/>
      <c r="E7" s="365"/>
      <c r="F7" s="365"/>
      <c r="G7" s="365"/>
    </row>
    <row r="8" spans="1:255" ht="18.75" x14ac:dyDescent="0.3">
      <c r="A8" s="366" t="s">
        <v>371</v>
      </c>
      <c r="B8" s="366"/>
      <c r="C8" s="366"/>
      <c r="D8" s="366"/>
      <c r="E8" s="366"/>
      <c r="F8" s="366"/>
      <c r="G8" s="366"/>
    </row>
    <row r="9" spans="1:255" x14ac:dyDescent="0.2">
      <c r="A9" s="367"/>
      <c r="B9" s="367"/>
      <c r="C9" s="367"/>
      <c r="D9" s="367"/>
      <c r="E9" s="367"/>
      <c r="F9" s="367"/>
      <c r="G9" s="367"/>
    </row>
    <row r="10" spans="1:255" x14ac:dyDescent="0.2">
      <c r="A10" s="367"/>
      <c r="B10" s="367"/>
      <c r="C10" s="367"/>
      <c r="D10" s="367"/>
      <c r="E10" s="367"/>
      <c r="F10" s="367"/>
      <c r="G10" s="367"/>
    </row>
    <row r="11" spans="1:255" ht="47.25" x14ac:dyDescent="0.25">
      <c r="A11" s="14" t="s">
        <v>349</v>
      </c>
      <c r="B11" s="368" t="s">
        <v>4</v>
      </c>
      <c r="C11" s="368"/>
      <c r="D11" s="368"/>
      <c r="E11" s="368"/>
      <c r="F11" s="368"/>
      <c r="G11" s="368"/>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69" t="s">
        <v>4</v>
      </c>
      <c r="C12" s="369"/>
      <c r="D12" s="369"/>
      <c r="E12" s="369"/>
      <c r="F12" s="369"/>
      <c r="G12" s="369"/>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56" t="s">
        <v>244</v>
      </c>
      <c r="C13" s="357"/>
      <c r="D13" s="357"/>
      <c r="E13" s="357"/>
      <c r="F13" s="357"/>
      <c r="G13" s="357"/>
      <c r="BT13" s="22">
        <f>C13</f>
        <v>0</v>
      </c>
      <c r="IU13" s="23"/>
    </row>
    <row r="15" spans="1:255" x14ac:dyDescent="0.2">
      <c r="A15" s="14" t="s">
        <v>372</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373</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68">
        <v>1</v>
      </c>
      <c r="B20" s="168">
        <v>2</v>
      </c>
      <c r="C20" s="168">
        <v>3</v>
      </c>
      <c r="D20" s="168">
        <v>4</v>
      </c>
      <c r="E20" s="168">
        <v>5</v>
      </c>
      <c r="F20" s="168">
        <v>6</v>
      </c>
      <c r="G20" s="168">
        <v>7</v>
      </c>
      <c r="H20" s="168">
        <v>8</v>
      </c>
      <c r="I20" s="169">
        <v>9</v>
      </c>
    </row>
    <row r="21" spans="1:255" x14ac:dyDescent="0.2">
      <c r="A21" s="184"/>
      <c r="B21" s="184" t="s">
        <v>374</v>
      </c>
      <c r="C21" s="184"/>
      <c r="D21" s="184"/>
      <c r="E21" s="184"/>
      <c r="F21" s="184"/>
      <c r="G21" s="181"/>
      <c r="H21" s="181"/>
      <c r="I21" s="181"/>
    </row>
    <row r="22" spans="1:255" s="42" customFormat="1" ht="24" x14ac:dyDescent="0.2">
      <c r="A22" s="185">
        <v>1</v>
      </c>
      <c r="B22" s="186" t="s">
        <v>182</v>
      </c>
      <c r="C22" s="186" t="s">
        <v>183</v>
      </c>
      <c r="D22" s="186" t="s">
        <v>184</v>
      </c>
      <c r="E22" s="187">
        <v>278.18263499999995</v>
      </c>
      <c r="F22" s="188">
        <f>ROUND( 7.87, 2 )</f>
        <v>7.87</v>
      </c>
      <c r="G22" s="189">
        <f>ROUND(E22*F22,0)</f>
        <v>2189</v>
      </c>
      <c r="H22" s="190" t="s">
        <v>377</v>
      </c>
      <c r="I22" s="190" t="s">
        <v>376</v>
      </c>
    </row>
    <row r="23" spans="1:255" s="42" customFormat="1" ht="12" x14ac:dyDescent="0.2">
      <c r="A23" s="185">
        <v>2</v>
      </c>
      <c r="B23" s="186" t="s">
        <v>25</v>
      </c>
      <c r="C23" s="186" t="s">
        <v>173</v>
      </c>
      <c r="D23" s="186" t="s">
        <v>174</v>
      </c>
      <c r="E23" s="187">
        <v>95.796950999999993</v>
      </c>
      <c r="F23" s="188">
        <f>ROUND( 0, 2 )</f>
        <v>0</v>
      </c>
      <c r="G23" s="189">
        <f>ROUND(E23*F23,0)</f>
        <v>0</v>
      </c>
      <c r="H23" s="191" t="s">
        <v>375</v>
      </c>
      <c r="I23" s="191" t="s">
        <v>376</v>
      </c>
    </row>
    <row r="24" spans="1:255" x14ac:dyDescent="0.2">
      <c r="A24" s="181"/>
      <c r="B24" s="181"/>
      <c r="C24" s="182" t="s">
        <v>325</v>
      </c>
      <c r="D24" s="181"/>
      <c r="E24" s="181"/>
      <c r="F24" s="181"/>
      <c r="G24" s="183">
        <f>ROUND(SUM(G22:G23),0)</f>
        <v>2189</v>
      </c>
      <c r="H24" s="181"/>
      <c r="I24" s="181"/>
      <c r="J24" s="23"/>
      <c r="K24" s="180">
        <f>G24</f>
        <v>2189</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181"/>
      <c r="B25" s="181"/>
      <c r="C25" s="181"/>
      <c r="D25" s="181"/>
      <c r="E25" s="181"/>
      <c r="F25" s="181"/>
      <c r="G25" s="181"/>
      <c r="H25" s="181"/>
      <c r="I25" s="181"/>
    </row>
    <row r="26" spans="1:255" x14ac:dyDescent="0.2">
      <c r="A26" s="184"/>
      <c r="B26" s="184" t="s">
        <v>378</v>
      </c>
      <c r="C26" s="184"/>
      <c r="D26" s="184"/>
      <c r="E26" s="184"/>
      <c r="F26" s="184"/>
      <c r="G26" s="181"/>
      <c r="H26" s="181"/>
      <c r="I26" s="181"/>
    </row>
    <row r="27" spans="1:255" s="42" customFormat="1" ht="48" x14ac:dyDescent="0.2">
      <c r="A27" s="185">
        <v>3</v>
      </c>
      <c r="B27" s="186" t="s">
        <v>175</v>
      </c>
      <c r="C27" s="186" t="s">
        <v>177</v>
      </c>
      <c r="D27" s="186" t="s">
        <v>178</v>
      </c>
      <c r="E27" s="187">
        <v>83.090171999999995</v>
      </c>
      <c r="F27" s="188">
        <f>ROUND( 122, 2 )</f>
        <v>122</v>
      </c>
      <c r="G27" s="189">
        <f>ROUND(E27*F27,0)</f>
        <v>10137</v>
      </c>
      <c r="H27" s="190" t="s">
        <v>379</v>
      </c>
      <c r="I27" s="190" t="s">
        <v>376</v>
      </c>
    </row>
    <row r="28" spans="1:255" s="42" customFormat="1" ht="24" x14ac:dyDescent="0.2">
      <c r="A28" s="185">
        <v>4</v>
      </c>
      <c r="B28" s="186" t="s">
        <v>185</v>
      </c>
      <c r="C28" s="186" t="s">
        <v>187</v>
      </c>
      <c r="D28" s="186" t="s">
        <v>178</v>
      </c>
      <c r="E28" s="187">
        <v>12.706779000000001</v>
      </c>
      <c r="F28" s="188">
        <f>ROUND( 88.79, 2 )</f>
        <v>88.79</v>
      </c>
      <c r="G28" s="189">
        <f>ROUND(E28*F28,0)</f>
        <v>1128</v>
      </c>
      <c r="H28" s="190" t="s">
        <v>381</v>
      </c>
      <c r="I28" s="190" t="s">
        <v>376</v>
      </c>
    </row>
    <row r="29" spans="1:255" s="42" customFormat="1" ht="24" x14ac:dyDescent="0.2">
      <c r="A29" s="185">
        <v>5</v>
      </c>
      <c r="B29" s="186" t="s">
        <v>188</v>
      </c>
      <c r="C29" s="186" t="s">
        <v>190</v>
      </c>
      <c r="D29" s="186" t="s">
        <v>178</v>
      </c>
      <c r="E29" s="187">
        <v>0.25605600000000001</v>
      </c>
      <c r="F29" s="188">
        <f>ROUND( 115.67, 2 )</f>
        <v>115.67</v>
      </c>
      <c r="G29" s="189">
        <f>ROUND(E29*F29,0)</f>
        <v>30</v>
      </c>
      <c r="H29" s="190" t="s">
        <v>382</v>
      </c>
      <c r="I29" s="190" t="s">
        <v>376</v>
      </c>
    </row>
    <row r="30" spans="1:255" s="42" customFormat="1" ht="24" x14ac:dyDescent="0.2">
      <c r="A30" s="185">
        <v>6</v>
      </c>
      <c r="B30" s="186" t="s">
        <v>179</v>
      </c>
      <c r="C30" s="186" t="s">
        <v>181</v>
      </c>
      <c r="D30" s="186" t="s">
        <v>178</v>
      </c>
      <c r="E30" s="187">
        <v>142.58478359999998</v>
      </c>
      <c r="F30" s="188">
        <f>ROUND( 114.93, 2 )</f>
        <v>114.93</v>
      </c>
      <c r="G30" s="189">
        <f>ROUND(E30*F30,0)</f>
        <v>16387</v>
      </c>
      <c r="H30" s="190" t="s">
        <v>380</v>
      </c>
      <c r="I30" s="190" t="s">
        <v>376</v>
      </c>
    </row>
    <row r="31" spans="1:255" x14ac:dyDescent="0.2">
      <c r="A31" s="181"/>
      <c r="B31" s="181"/>
      <c r="C31" s="182" t="s">
        <v>325</v>
      </c>
      <c r="D31" s="181"/>
      <c r="E31" s="181"/>
      <c r="F31" s="181"/>
      <c r="G31" s="183">
        <f>ROUND(SUM(G27:G30),0)</f>
        <v>27682</v>
      </c>
      <c r="H31" s="181"/>
      <c r="I31" s="181"/>
      <c r="J31" s="23"/>
      <c r="K31" s="23"/>
      <c r="L31" s="180">
        <f>G31</f>
        <v>27682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x14ac:dyDescent="0.2">
      <c r="A32" s="32"/>
      <c r="B32" s="100"/>
      <c r="C32" s="100"/>
      <c r="D32" s="100"/>
      <c r="E32" s="100"/>
      <c r="F32" s="100"/>
      <c r="G32" s="177"/>
      <c r="H32" s="100"/>
      <c r="I32" s="177"/>
    </row>
    <row r="34" spans="1:255" x14ac:dyDescent="0.2">
      <c r="C34" s="178" t="s">
        <v>98</v>
      </c>
      <c r="G34" s="179">
        <f>ROUND(SUM(K21:K34) + SUM(L21:L34) + SUM(M21:M34),0)</f>
        <v>29871</v>
      </c>
    </row>
    <row r="35" spans="1:255" x14ac:dyDescent="0.2">
      <c r="C35" s="192" t="s">
        <v>383</v>
      </c>
      <c r="G35" s="179"/>
    </row>
    <row r="36" spans="1:255" x14ac:dyDescent="0.2">
      <c r="C36" s="192" t="s">
        <v>251</v>
      </c>
      <c r="G36" s="179">
        <f>ROUND(SUM(K21:K36),0)</f>
        <v>2189</v>
      </c>
    </row>
    <row r="37" spans="1:255" x14ac:dyDescent="0.2">
      <c r="C37" s="192" t="s">
        <v>303</v>
      </c>
      <c r="G37" s="179">
        <f>ROUND(SUM(L21:L37),0)</f>
        <v>27682</v>
      </c>
    </row>
    <row r="38" spans="1:255" x14ac:dyDescent="0.2">
      <c r="C38" s="192" t="s">
        <v>384</v>
      </c>
      <c r="G38" s="179">
        <f>ROUND(SUM(M21:M38),0)</f>
        <v>0</v>
      </c>
    </row>
    <row r="40" spans="1:255" ht="22.5" x14ac:dyDescent="0.2">
      <c r="A40" s="162" t="s">
        <v>334</v>
      </c>
      <c r="B40" s="162"/>
      <c r="C40" s="174" t="s">
        <v>403</v>
      </c>
      <c r="D40" s="163"/>
      <c r="E40" s="163"/>
      <c r="F40" s="377" t="s">
        <v>7</v>
      </c>
      <c r="G40" s="377"/>
      <c r="BY40" s="164" t="str">
        <f>C40</f>
        <v xml:space="preserve"> Главный инженер сметчик сметно-расчетной службы ООО "ОДСК"</v>
      </c>
      <c r="BZ40" s="164" t="str">
        <f>F40</f>
        <v>Кузнецова У. И.</v>
      </c>
      <c r="IU40" s="23"/>
    </row>
    <row r="41" spans="1:255" s="176" customFormat="1" ht="11.25" x14ac:dyDescent="0.2">
      <c r="A41" s="175"/>
      <c r="B41" s="175"/>
      <c r="C41" s="378" t="s">
        <v>330</v>
      </c>
      <c r="D41" s="378"/>
      <c r="E41" s="378"/>
      <c r="F41" s="378" t="s">
        <v>331</v>
      </c>
      <c r="G41" s="378"/>
    </row>
    <row r="42" spans="1:255" x14ac:dyDescent="0.2">
      <c r="A42" s="18"/>
      <c r="B42" s="18"/>
      <c r="C42" s="18"/>
      <c r="D42" s="11" t="s">
        <v>332</v>
      </c>
      <c r="E42" s="18"/>
      <c r="F42" s="18"/>
      <c r="G42" s="18"/>
    </row>
    <row r="43" spans="1:255" ht="22.5" x14ac:dyDescent="0.2">
      <c r="A43" s="162" t="s">
        <v>335</v>
      </c>
      <c r="B43" s="162"/>
      <c r="C43" s="174" t="s">
        <v>343</v>
      </c>
      <c r="D43" s="163"/>
      <c r="E43" s="163"/>
      <c r="F43" s="377" t="s">
        <v>337</v>
      </c>
      <c r="G43" s="377"/>
      <c r="BY43" s="164" t="str">
        <f>C43</f>
        <v>Руководитель сметно-расчетной службы ООО "ОДСК"</v>
      </c>
      <c r="BZ43" s="164" t="str">
        <f>F43</f>
        <v>Артамонова Ю.А.</v>
      </c>
      <c r="IU43" s="23"/>
    </row>
    <row r="44" spans="1:255" s="176" customFormat="1" ht="11.25" x14ac:dyDescent="0.2">
      <c r="A44" s="175"/>
      <c r="B44" s="175"/>
      <c r="C44" s="378" t="s">
        <v>330</v>
      </c>
      <c r="D44" s="378"/>
      <c r="E44" s="378"/>
      <c r="F44" s="378" t="s">
        <v>331</v>
      </c>
      <c r="G44" s="378"/>
    </row>
    <row r="45" spans="1:255" x14ac:dyDescent="0.2">
      <c r="A45" s="18"/>
      <c r="B45" s="18"/>
      <c r="C45" s="18"/>
      <c r="D45" s="11" t="s">
        <v>332</v>
      </c>
      <c r="E45" s="18"/>
      <c r="F45" s="18"/>
      <c r="G45" s="18"/>
    </row>
    <row r="46" spans="1:255" x14ac:dyDescent="0.2">
      <c r="A46" s="162" t="s">
        <v>221</v>
      </c>
      <c r="B46" s="162"/>
      <c r="C46" s="174" t="s">
        <v>344</v>
      </c>
      <c r="D46" s="163"/>
      <c r="E46" s="163"/>
      <c r="F46" s="377" t="s">
        <v>345</v>
      </c>
      <c r="G46" s="377"/>
      <c r="BY46" s="164" t="str">
        <f>C46</f>
        <v>Руководитель ПТО ООО "ОСУ-2"</v>
      </c>
      <c r="BZ46" s="164" t="str">
        <f>F46</f>
        <v>Когтев В. И.</v>
      </c>
      <c r="IU46" s="23"/>
    </row>
    <row r="47" spans="1:255" s="176" customFormat="1" ht="11.25" x14ac:dyDescent="0.2">
      <c r="A47" s="175"/>
      <c r="B47" s="175"/>
      <c r="C47" s="378" t="s">
        <v>330</v>
      </c>
      <c r="D47" s="378"/>
      <c r="E47" s="378"/>
      <c r="F47" s="378" t="s">
        <v>331</v>
      </c>
      <c r="G47" s="378"/>
    </row>
    <row r="48" spans="1:255" x14ac:dyDescent="0.2">
      <c r="A48" s="18"/>
      <c r="B48" s="18"/>
      <c r="C48" s="18"/>
      <c r="D48" s="11" t="s">
        <v>332</v>
      </c>
      <c r="E48" s="18"/>
      <c r="F48" s="18"/>
      <c r="G48" s="18"/>
    </row>
  </sheetData>
  <sortState ref="A27:IU30">
    <sortCondition ref="B27"/>
    <sortCondition ref="C27"/>
  </sortState>
  <mergeCells count="21">
    <mergeCell ref="F46:G46"/>
    <mergeCell ref="C47:E47"/>
    <mergeCell ref="F47:G47"/>
    <mergeCell ref="F40:G40"/>
    <mergeCell ref="C41:E41"/>
    <mergeCell ref="F41:G41"/>
    <mergeCell ref="F43:G43"/>
    <mergeCell ref="C44:E44"/>
    <mergeCell ref="F44:G44"/>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C22" sqref="C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358" t="s">
        <v>211</v>
      </c>
      <c r="B1" s="358"/>
      <c r="C1" s="358"/>
      <c r="D1" s="358"/>
      <c r="E1" s="358"/>
      <c r="F1" s="358"/>
      <c r="G1" s="358"/>
    </row>
    <row r="3" spans="1:255" x14ac:dyDescent="0.2">
      <c r="A3" s="20" t="s">
        <v>218</v>
      </c>
      <c r="B3" s="19"/>
      <c r="C3" s="359"/>
      <c r="D3" s="360"/>
      <c r="E3" s="360"/>
      <c r="F3" s="360"/>
      <c r="G3" s="360"/>
      <c r="BR3" s="22">
        <f>C3</f>
        <v>0</v>
      </c>
      <c r="IU3" s="23"/>
    </row>
    <row r="4" spans="1:255" x14ac:dyDescent="0.2">
      <c r="A4" s="20" t="s">
        <v>220</v>
      </c>
      <c r="B4" s="19"/>
      <c r="C4" s="361"/>
      <c r="D4" s="362"/>
      <c r="E4" s="362"/>
      <c r="F4" s="362"/>
      <c r="G4" s="362"/>
      <c r="BR4" s="22">
        <f>C4</f>
        <v>0</v>
      </c>
      <c r="IU4" s="23"/>
    </row>
    <row r="5" spans="1:255" x14ac:dyDescent="0.2">
      <c r="A5" s="20" t="s">
        <v>221</v>
      </c>
      <c r="B5" s="19"/>
      <c r="C5" s="361"/>
      <c r="D5" s="362"/>
      <c r="E5" s="362"/>
      <c r="F5" s="362"/>
      <c r="G5" s="362"/>
      <c r="BR5" s="22">
        <f>C5</f>
        <v>0</v>
      </c>
      <c r="IU5" s="23"/>
    </row>
    <row r="6" spans="1:255" x14ac:dyDescent="0.2">
      <c r="A6" s="20" t="s">
        <v>222</v>
      </c>
      <c r="B6" s="19"/>
      <c r="C6" s="363"/>
      <c r="D6" s="364"/>
      <c r="E6" s="364"/>
      <c r="F6" s="364"/>
      <c r="G6" s="364"/>
      <c r="BR6" s="22">
        <f>C6</f>
        <v>0</v>
      </c>
      <c r="IU6" s="23"/>
    </row>
    <row r="7" spans="1:255" x14ac:dyDescent="0.2">
      <c r="A7" s="365"/>
      <c r="B7" s="365"/>
      <c r="C7" s="365"/>
      <c r="D7" s="365"/>
      <c r="E7" s="365"/>
      <c r="F7" s="365"/>
      <c r="G7" s="365"/>
    </row>
    <row r="8" spans="1:255" ht="18.75" x14ac:dyDescent="0.3">
      <c r="A8" s="366" t="s">
        <v>347</v>
      </c>
      <c r="B8" s="366"/>
      <c r="C8" s="366"/>
      <c r="D8" s="366"/>
      <c r="E8" s="366"/>
      <c r="F8" s="366"/>
      <c r="G8" s="366"/>
    </row>
    <row r="9" spans="1:255" x14ac:dyDescent="0.2">
      <c r="A9" s="367" t="s">
        <v>370</v>
      </c>
      <c r="B9" s="367"/>
      <c r="C9" s="367"/>
      <c r="D9" s="367"/>
      <c r="E9" s="367"/>
      <c r="F9" s="367"/>
      <c r="G9" s="367"/>
    </row>
    <row r="10" spans="1:255" x14ac:dyDescent="0.2">
      <c r="A10" s="367"/>
      <c r="B10" s="367"/>
      <c r="C10" s="367"/>
      <c r="D10" s="367"/>
      <c r="E10" s="367"/>
      <c r="F10" s="367"/>
      <c r="G10" s="367"/>
    </row>
    <row r="11" spans="1:255" ht="47.25" x14ac:dyDescent="0.25">
      <c r="A11" s="14" t="s">
        <v>224</v>
      </c>
      <c r="B11" s="369" t="s">
        <v>4</v>
      </c>
      <c r="C11" s="369"/>
      <c r="D11" s="369"/>
      <c r="E11" s="369"/>
      <c r="F11" s="369"/>
      <c r="G11" s="369"/>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3" spans="1:255" x14ac:dyDescent="0.2">
      <c r="A13" s="14" t="s">
        <v>239</v>
      </c>
    </row>
    <row r="14" spans="1:255" x14ac:dyDescent="0.2">
      <c r="A14" s="14" t="s">
        <v>240</v>
      </c>
    </row>
    <row r="15" spans="1:255" x14ac:dyDescent="0.2">
      <c r="A15" s="168" t="s">
        <v>350</v>
      </c>
      <c r="B15" s="168" t="s">
        <v>352</v>
      </c>
      <c r="C15" s="168" t="s">
        <v>355</v>
      </c>
      <c r="D15" s="168" t="s">
        <v>357</v>
      </c>
      <c r="E15" s="168" t="s">
        <v>360</v>
      </c>
      <c r="F15" s="168" t="s">
        <v>362</v>
      </c>
      <c r="G15" s="168" t="s">
        <v>364</v>
      </c>
      <c r="H15" s="168" t="s">
        <v>366</v>
      </c>
      <c r="I15" s="169" t="s">
        <v>327</v>
      </c>
    </row>
    <row r="16" spans="1:255" x14ac:dyDescent="0.2">
      <c r="A16" s="170" t="s">
        <v>351</v>
      </c>
      <c r="B16" s="170" t="s">
        <v>353</v>
      </c>
      <c r="C16" s="170" t="s">
        <v>356</v>
      </c>
      <c r="D16" s="170" t="s">
        <v>358</v>
      </c>
      <c r="E16" s="170" t="s">
        <v>361</v>
      </c>
      <c r="F16" s="170" t="s">
        <v>363</v>
      </c>
      <c r="G16" s="170" t="s">
        <v>365</v>
      </c>
      <c r="H16" s="170" t="s">
        <v>367</v>
      </c>
      <c r="I16" s="171" t="s">
        <v>272</v>
      </c>
    </row>
    <row r="17" spans="1:255" x14ac:dyDescent="0.2">
      <c r="A17" s="170"/>
      <c r="B17" s="170" t="s">
        <v>354</v>
      </c>
      <c r="C17" s="170"/>
      <c r="D17" s="170" t="s">
        <v>359</v>
      </c>
      <c r="E17" s="170"/>
      <c r="F17" s="170"/>
      <c r="G17" s="170" t="s">
        <v>363</v>
      </c>
      <c r="H17" s="170" t="s">
        <v>368</v>
      </c>
      <c r="I17" s="171"/>
    </row>
    <row r="18" spans="1:255" x14ac:dyDescent="0.2">
      <c r="A18" s="172">
        <v>1</v>
      </c>
      <c r="B18" s="172">
        <v>2</v>
      </c>
      <c r="C18" s="172">
        <v>3</v>
      </c>
      <c r="D18" s="172">
        <v>4</v>
      </c>
      <c r="E18" s="172">
        <v>5</v>
      </c>
      <c r="F18" s="172">
        <v>6</v>
      </c>
      <c r="G18" s="172">
        <v>7</v>
      </c>
      <c r="H18" s="172">
        <v>8</v>
      </c>
      <c r="I18" s="173">
        <v>9</v>
      </c>
    </row>
    <row r="20" spans="1:255" x14ac:dyDescent="0.2">
      <c r="C20" t="s">
        <v>369</v>
      </c>
    </row>
    <row r="22" spans="1:255" ht="22.5" x14ac:dyDescent="0.2">
      <c r="A22" s="162" t="s">
        <v>334</v>
      </c>
      <c r="B22" s="162"/>
      <c r="C22" s="174" t="s">
        <v>403</v>
      </c>
      <c r="D22" s="163"/>
      <c r="E22" s="163"/>
      <c r="F22" s="377" t="s">
        <v>7</v>
      </c>
      <c r="G22" s="377"/>
      <c r="BY22" s="164" t="str">
        <f>C22</f>
        <v xml:space="preserve"> Главный инженер сметчик сметно-расчетной службы ООО "ОДСК"</v>
      </c>
      <c r="BZ22" s="164" t="str">
        <f>F22</f>
        <v>Кузнецова У. И.</v>
      </c>
      <c r="IU22" s="23"/>
    </row>
    <row r="23" spans="1:255" s="176" customFormat="1" ht="11.25" x14ac:dyDescent="0.2">
      <c r="A23" s="175"/>
      <c r="B23" s="175"/>
      <c r="C23" s="378" t="s">
        <v>330</v>
      </c>
      <c r="D23" s="378"/>
      <c r="E23" s="378"/>
      <c r="F23" s="378" t="s">
        <v>331</v>
      </c>
      <c r="G23" s="378"/>
    </row>
    <row r="24" spans="1:255" x14ac:dyDescent="0.2">
      <c r="A24" s="18"/>
      <c r="B24" s="18"/>
      <c r="C24" s="18"/>
      <c r="D24" s="11" t="s">
        <v>332</v>
      </c>
      <c r="E24" s="18"/>
      <c r="F24" s="18"/>
      <c r="G24" s="18"/>
    </row>
    <row r="25" spans="1:255" ht="22.5" x14ac:dyDescent="0.2">
      <c r="A25" s="162" t="s">
        <v>335</v>
      </c>
      <c r="B25" s="162"/>
      <c r="C25" s="174" t="s">
        <v>343</v>
      </c>
      <c r="D25" s="163"/>
      <c r="E25" s="163"/>
      <c r="F25" s="377" t="s">
        <v>337</v>
      </c>
      <c r="G25" s="377"/>
      <c r="BY25" s="164" t="str">
        <f>C25</f>
        <v>Руководитель сметно-расчетной службы ООО "ОДСК"</v>
      </c>
      <c r="BZ25" s="164" t="str">
        <f>F25</f>
        <v>Артамонова Ю.А.</v>
      </c>
      <c r="IU25" s="23"/>
    </row>
    <row r="26" spans="1:255" s="176" customFormat="1" ht="11.25" x14ac:dyDescent="0.2">
      <c r="A26" s="175"/>
      <c r="B26" s="175"/>
      <c r="C26" s="378" t="s">
        <v>330</v>
      </c>
      <c r="D26" s="378"/>
      <c r="E26" s="378"/>
      <c r="F26" s="378" t="s">
        <v>331</v>
      </c>
      <c r="G26" s="378"/>
    </row>
    <row r="27" spans="1:255" x14ac:dyDescent="0.2">
      <c r="A27" s="18"/>
      <c r="B27" s="18"/>
      <c r="C27" s="18"/>
      <c r="D27" s="11" t="s">
        <v>332</v>
      </c>
      <c r="E27" s="18"/>
      <c r="F27" s="18"/>
      <c r="G27" s="18"/>
    </row>
    <row r="28" spans="1:255" x14ac:dyDescent="0.2">
      <c r="A28" s="162" t="s">
        <v>221</v>
      </c>
      <c r="B28" s="162"/>
      <c r="C28" s="174" t="s">
        <v>344</v>
      </c>
      <c r="D28" s="163"/>
      <c r="E28" s="163"/>
      <c r="F28" s="377" t="s">
        <v>345</v>
      </c>
      <c r="G28" s="377"/>
      <c r="BY28" s="164" t="str">
        <f>C28</f>
        <v>Руководитель ПТО ООО "ОСУ-2"</v>
      </c>
      <c r="BZ28" s="164" t="str">
        <f>F28</f>
        <v>Когтев В. И.</v>
      </c>
      <c r="IU28" s="23"/>
    </row>
    <row r="29" spans="1:255" s="176" customFormat="1" ht="11.25" x14ac:dyDescent="0.2">
      <c r="A29" s="175"/>
      <c r="B29" s="175"/>
      <c r="C29" s="378" t="s">
        <v>330</v>
      </c>
      <c r="D29" s="378"/>
      <c r="E29" s="378"/>
      <c r="F29" s="378" t="s">
        <v>331</v>
      </c>
      <c r="G29" s="378"/>
    </row>
    <row r="30" spans="1:255" x14ac:dyDescent="0.2">
      <c r="A30" s="18"/>
      <c r="B30" s="18"/>
      <c r="C30" s="18"/>
      <c r="D30" s="11" t="s">
        <v>332</v>
      </c>
      <c r="E30" s="18"/>
      <c r="F30" s="18"/>
      <c r="G30" s="18"/>
    </row>
    <row r="32" spans="1:255" x14ac:dyDescent="0.2">
      <c r="A32" s="31"/>
      <c r="B32" s="31"/>
    </row>
  </sheetData>
  <mergeCells count="19">
    <mergeCell ref="F25:G25"/>
    <mergeCell ref="C26:E26"/>
    <mergeCell ref="F26:G26"/>
    <mergeCell ref="F28:G28"/>
    <mergeCell ref="C29:E29"/>
    <mergeCell ref="F29:G29"/>
    <mergeCell ref="C23:E23"/>
    <mergeCell ref="F23:G23"/>
    <mergeCell ref="A1:G1"/>
    <mergeCell ref="C3:G3"/>
    <mergeCell ref="C4:G4"/>
    <mergeCell ref="C5:G5"/>
    <mergeCell ref="C6:G6"/>
    <mergeCell ref="A7:G7"/>
    <mergeCell ref="A8:G8"/>
    <mergeCell ref="A9:G9"/>
    <mergeCell ref="A10:G10"/>
    <mergeCell ref="B11:G11"/>
    <mergeCell ref="F22:G22"/>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F27" sqref="F27:G27"/>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58" t="s">
        <v>211</v>
      </c>
      <c r="B1" s="358"/>
      <c r="C1" s="358"/>
      <c r="D1" s="358"/>
      <c r="E1" s="358"/>
      <c r="F1" s="358"/>
      <c r="G1" s="358"/>
    </row>
    <row r="3" spans="1:255" x14ac:dyDescent="0.2">
      <c r="A3" s="20" t="s">
        <v>218</v>
      </c>
      <c r="B3" s="19"/>
      <c r="C3" s="359"/>
      <c r="D3" s="360"/>
      <c r="E3" s="360"/>
      <c r="F3" s="360"/>
      <c r="G3" s="360"/>
      <c r="BR3" s="22">
        <f>C3</f>
        <v>0</v>
      </c>
      <c r="IU3" s="23"/>
    </row>
    <row r="4" spans="1:255" x14ac:dyDescent="0.2">
      <c r="A4" s="20" t="s">
        <v>220</v>
      </c>
      <c r="B4" s="19"/>
      <c r="C4" s="361"/>
      <c r="D4" s="362"/>
      <c r="E4" s="362"/>
      <c r="F4" s="362"/>
      <c r="G4" s="362"/>
      <c r="BR4" s="22">
        <f>C4</f>
        <v>0</v>
      </c>
      <c r="IU4" s="23"/>
    </row>
    <row r="5" spans="1:255" x14ac:dyDescent="0.2">
      <c r="A5" s="20" t="s">
        <v>221</v>
      </c>
      <c r="B5" s="19"/>
      <c r="C5" s="361"/>
      <c r="D5" s="362"/>
      <c r="E5" s="362"/>
      <c r="F5" s="362"/>
      <c r="G5" s="362"/>
      <c r="BR5" s="22">
        <f>C5</f>
        <v>0</v>
      </c>
      <c r="IU5" s="23"/>
    </row>
    <row r="6" spans="1:255" x14ac:dyDescent="0.2">
      <c r="A6" s="20" t="s">
        <v>222</v>
      </c>
      <c r="B6" s="19"/>
      <c r="C6" s="363"/>
      <c r="D6" s="364"/>
      <c r="E6" s="364"/>
      <c r="F6" s="364"/>
      <c r="G6" s="364"/>
      <c r="BR6" s="22">
        <f>C6</f>
        <v>0</v>
      </c>
      <c r="IU6" s="23"/>
    </row>
    <row r="7" spans="1:255" x14ac:dyDescent="0.2">
      <c r="A7" s="365"/>
      <c r="B7" s="365"/>
      <c r="C7" s="365"/>
      <c r="D7" s="365"/>
      <c r="E7" s="365"/>
      <c r="F7" s="365"/>
      <c r="G7" s="365"/>
    </row>
    <row r="8" spans="1:255" ht="18.75" x14ac:dyDescent="0.3">
      <c r="A8" s="366" t="s">
        <v>347</v>
      </c>
      <c r="B8" s="366"/>
      <c r="C8" s="366"/>
      <c r="D8" s="366"/>
      <c r="E8" s="366"/>
      <c r="F8" s="366"/>
      <c r="G8" s="366"/>
    </row>
    <row r="9" spans="1:255" x14ac:dyDescent="0.2">
      <c r="A9" s="367" t="s">
        <v>348</v>
      </c>
      <c r="B9" s="367"/>
      <c r="C9" s="367"/>
      <c r="D9" s="367"/>
      <c r="E9" s="367"/>
      <c r="F9" s="367"/>
      <c r="G9" s="367"/>
    </row>
    <row r="10" spans="1:255" x14ac:dyDescent="0.2">
      <c r="A10" s="367"/>
      <c r="B10" s="367"/>
      <c r="C10" s="367"/>
      <c r="D10" s="367"/>
      <c r="E10" s="367"/>
      <c r="F10" s="367"/>
      <c r="G10" s="367"/>
    </row>
    <row r="11" spans="1:255" ht="47.25" x14ac:dyDescent="0.25">
      <c r="A11" s="14" t="s">
        <v>349</v>
      </c>
      <c r="B11" s="368" t="s">
        <v>4</v>
      </c>
      <c r="C11" s="368"/>
      <c r="D11" s="368"/>
      <c r="E11" s="368"/>
      <c r="F11" s="368"/>
      <c r="G11" s="368"/>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69" t="s">
        <v>4</v>
      </c>
      <c r="C12" s="369"/>
      <c r="D12" s="369"/>
      <c r="E12" s="369"/>
      <c r="F12" s="369"/>
      <c r="G12" s="369"/>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56" t="s">
        <v>244</v>
      </c>
      <c r="C13" s="357"/>
      <c r="D13" s="357"/>
      <c r="E13" s="357"/>
      <c r="F13" s="357"/>
      <c r="G13" s="357"/>
      <c r="BT13" s="22">
        <f>C13</f>
        <v>0</v>
      </c>
      <c r="IU13" s="23"/>
    </row>
    <row r="15" spans="1:255" x14ac:dyDescent="0.2">
      <c r="A15" s="14" t="s">
        <v>239</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356</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72">
        <v>1</v>
      </c>
      <c r="B20" s="172">
        <v>2</v>
      </c>
      <c r="C20" s="172">
        <v>3</v>
      </c>
      <c r="D20" s="172">
        <v>4</v>
      </c>
      <c r="E20" s="172">
        <v>5</v>
      </c>
      <c r="F20" s="172">
        <v>6</v>
      </c>
      <c r="G20" s="172">
        <v>7</v>
      </c>
      <c r="H20" s="172">
        <v>8</v>
      </c>
      <c r="I20" s="173">
        <v>9</v>
      </c>
    </row>
    <row r="22" spans="1:255" x14ac:dyDescent="0.2">
      <c r="C22" t="s">
        <v>369</v>
      </c>
    </row>
    <row r="24" spans="1:255" ht="22.5" x14ac:dyDescent="0.2">
      <c r="A24" s="162" t="s">
        <v>334</v>
      </c>
      <c r="B24" s="162"/>
      <c r="C24" s="174" t="s">
        <v>403</v>
      </c>
      <c r="D24" s="163"/>
      <c r="E24" s="163"/>
      <c r="F24" s="377" t="s">
        <v>7</v>
      </c>
      <c r="G24" s="377"/>
      <c r="BY24" s="164" t="str">
        <f>C24</f>
        <v xml:space="preserve"> Главный инженер сметчик сметно-расчетной службы ООО "ОДСК"</v>
      </c>
      <c r="BZ24" s="164" t="str">
        <f>F24</f>
        <v>Кузнецова У. И.</v>
      </c>
      <c r="IU24" s="23"/>
    </row>
    <row r="25" spans="1:255" s="176" customFormat="1" ht="11.25" x14ac:dyDescent="0.2">
      <c r="A25" s="175"/>
      <c r="B25" s="175"/>
      <c r="C25" s="378" t="s">
        <v>330</v>
      </c>
      <c r="D25" s="378"/>
      <c r="E25" s="378"/>
      <c r="F25" s="378" t="s">
        <v>331</v>
      </c>
      <c r="G25" s="378"/>
    </row>
    <row r="26" spans="1:255" x14ac:dyDescent="0.2">
      <c r="A26" s="18"/>
      <c r="B26" s="18"/>
      <c r="C26" s="18"/>
      <c r="D26" s="11" t="s">
        <v>332</v>
      </c>
      <c r="E26" s="18"/>
      <c r="F26" s="18"/>
      <c r="G26" s="18"/>
    </row>
    <row r="27" spans="1:255" ht="22.5" x14ac:dyDescent="0.2">
      <c r="A27" s="162" t="s">
        <v>335</v>
      </c>
      <c r="B27" s="162"/>
      <c r="C27" s="174" t="s">
        <v>343</v>
      </c>
      <c r="D27" s="163"/>
      <c r="E27" s="163"/>
      <c r="F27" s="377" t="s">
        <v>337</v>
      </c>
      <c r="G27" s="377"/>
      <c r="BY27" s="164" t="str">
        <f>C27</f>
        <v>Руководитель сметно-расчетной службы ООО "ОДСК"</v>
      </c>
      <c r="BZ27" s="164" t="str">
        <f>F27</f>
        <v>Артамонова Ю.А.</v>
      </c>
      <c r="IU27" s="23"/>
    </row>
    <row r="28" spans="1:255" s="176" customFormat="1" ht="11.25" x14ac:dyDescent="0.2">
      <c r="A28" s="175"/>
      <c r="B28" s="175"/>
      <c r="C28" s="378" t="s">
        <v>330</v>
      </c>
      <c r="D28" s="378"/>
      <c r="E28" s="378"/>
      <c r="F28" s="378" t="s">
        <v>331</v>
      </c>
      <c r="G28" s="378"/>
    </row>
    <row r="29" spans="1:255" x14ac:dyDescent="0.2">
      <c r="A29" s="18"/>
      <c r="B29" s="18"/>
      <c r="C29" s="18"/>
      <c r="D29" s="11" t="s">
        <v>332</v>
      </c>
      <c r="E29" s="18"/>
      <c r="F29" s="18"/>
      <c r="G29" s="18"/>
    </row>
    <row r="30" spans="1:255" x14ac:dyDescent="0.2">
      <c r="A30" s="162" t="s">
        <v>221</v>
      </c>
      <c r="B30" s="162"/>
      <c r="C30" s="174" t="s">
        <v>344</v>
      </c>
      <c r="D30" s="163"/>
      <c r="E30" s="163"/>
      <c r="F30" s="377" t="s">
        <v>345</v>
      </c>
      <c r="G30" s="377"/>
      <c r="BY30" s="164" t="str">
        <f>C30</f>
        <v>Руководитель ПТО ООО "ОСУ-2"</v>
      </c>
      <c r="BZ30" s="164" t="str">
        <f>F30</f>
        <v>Когтев В. И.</v>
      </c>
      <c r="IU30" s="23"/>
    </row>
    <row r="31" spans="1:255" s="176" customFormat="1" ht="11.25" x14ac:dyDescent="0.2">
      <c r="A31" s="175"/>
      <c r="B31" s="175"/>
      <c r="C31" s="378" t="s">
        <v>330</v>
      </c>
      <c r="D31" s="378"/>
      <c r="E31" s="378"/>
      <c r="F31" s="378" t="s">
        <v>331</v>
      </c>
      <c r="G31" s="378"/>
    </row>
    <row r="32" spans="1:255" x14ac:dyDescent="0.2">
      <c r="A32" s="18"/>
      <c r="B32" s="18"/>
      <c r="C32" s="18"/>
      <c r="D32" s="11" t="s">
        <v>332</v>
      </c>
      <c r="E32" s="18"/>
      <c r="F32" s="18"/>
      <c r="G32" s="18"/>
    </row>
  </sheetData>
  <mergeCells count="21">
    <mergeCell ref="F30:G30"/>
    <mergeCell ref="C31:E31"/>
    <mergeCell ref="F31:G31"/>
    <mergeCell ref="F24:G24"/>
    <mergeCell ref="C25:E25"/>
    <mergeCell ref="F25:G25"/>
    <mergeCell ref="F27:G27"/>
    <mergeCell ref="C28:E28"/>
    <mergeCell ref="F28:G28"/>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3"/>
  <sheetViews>
    <sheetView topLeftCell="A39" zoomScaleNormal="100" workbookViewId="0">
      <selection activeCell="K139" sqref="K139"/>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81" t="s">
        <v>212</v>
      </c>
      <c r="I2" s="381"/>
      <c r="J2" s="381"/>
      <c r="K2" s="381"/>
    </row>
    <row r="3" spans="1:255" hidden="1" outlineLevel="1" x14ac:dyDescent="0.2">
      <c r="H3" s="381" t="s">
        <v>213</v>
      </c>
      <c r="I3" s="381"/>
      <c r="J3" s="381"/>
      <c r="K3" s="381"/>
    </row>
    <row r="4" spans="1:255" hidden="1" outlineLevel="1" x14ac:dyDescent="0.2">
      <c r="H4" s="381" t="s">
        <v>214</v>
      </c>
      <c r="I4" s="381"/>
      <c r="J4" s="381"/>
      <c r="K4" s="381"/>
    </row>
    <row r="5" spans="1:255" s="14" customFormat="1" ht="11.25" hidden="1" outlineLevel="1" x14ac:dyDescent="0.2">
      <c r="J5" s="382" t="s">
        <v>215</v>
      </c>
      <c r="K5" s="383"/>
    </row>
    <row r="6" spans="1:255" s="16" customFormat="1" ht="9.75" hidden="1" outlineLevel="1" x14ac:dyDescent="0.2">
      <c r="I6" s="17" t="s">
        <v>216</v>
      </c>
      <c r="J6" s="384" t="s">
        <v>217</v>
      </c>
      <c r="K6" s="385"/>
    </row>
    <row r="7" spans="1:255" hidden="1" outlineLevel="1" x14ac:dyDescent="0.2">
      <c r="A7" s="21" t="s">
        <v>218</v>
      </c>
      <c r="B7" s="19"/>
      <c r="C7" s="359"/>
      <c r="D7" s="360"/>
      <c r="E7" s="360"/>
      <c r="F7" s="360"/>
      <c r="G7" s="360"/>
      <c r="I7" s="17" t="s">
        <v>219</v>
      </c>
      <c r="J7" s="379"/>
      <c r="K7" s="380"/>
      <c r="BR7" s="22">
        <f>C7</f>
        <v>0</v>
      </c>
      <c r="IU7" s="23"/>
    </row>
    <row r="8" spans="1:255" hidden="1" outlineLevel="1" x14ac:dyDescent="0.2">
      <c r="A8" s="21" t="s">
        <v>220</v>
      </c>
      <c r="B8" s="19"/>
      <c r="C8" s="361"/>
      <c r="D8" s="362"/>
      <c r="E8" s="362"/>
      <c r="F8" s="362"/>
      <c r="G8" s="362"/>
      <c r="I8" s="17" t="s">
        <v>219</v>
      </c>
      <c r="J8" s="379"/>
      <c r="K8" s="380"/>
      <c r="BR8" s="22">
        <f>C8</f>
        <v>0</v>
      </c>
      <c r="IU8" s="23"/>
    </row>
    <row r="9" spans="1:255" hidden="1" outlineLevel="1" x14ac:dyDescent="0.2">
      <c r="A9" s="21" t="s">
        <v>221</v>
      </c>
      <c r="B9" s="19"/>
      <c r="C9" s="361"/>
      <c r="D9" s="362"/>
      <c r="E9" s="362"/>
      <c r="F9" s="362"/>
      <c r="G9" s="362"/>
      <c r="I9" s="17" t="s">
        <v>219</v>
      </c>
      <c r="J9" s="379"/>
      <c r="K9" s="380"/>
      <c r="BR9" s="22">
        <f>C9</f>
        <v>0</v>
      </c>
      <c r="IU9" s="23"/>
    </row>
    <row r="10" spans="1:255" hidden="1" outlineLevel="1" x14ac:dyDescent="0.2">
      <c r="A10" s="21" t="s">
        <v>222</v>
      </c>
      <c r="B10" s="19"/>
      <c r="C10" s="361"/>
      <c r="D10" s="362"/>
      <c r="E10" s="362"/>
      <c r="F10" s="362"/>
      <c r="G10" s="362"/>
      <c r="I10" s="17" t="s">
        <v>219</v>
      </c>
      <c r="J10" s="379"/>
      <c r="K10" s="380"/>
      <c r="BR10" s="22">
        <f>C10</f>
        <v>0</v>
      </c>
      <c r="IU10" s="23"/>
    </row>
    <row r="11" spans="1:255" ht="38.25" hidden="1" outlineLevel="1" x14ac:dyDescent="0.2">
      <c r="A11" s="21" t="s">
        <v>223</v>
      </c>
      <c r="C11" s="386" t="s">
        <v>4</v>
      </c>
      <c r="D11" s="386"/>
      <c r="E11" s="386"/>
      <c r="F11" s="386"/>
      <c r="G11" s="386"/>
      <c r="J11" s="379"/>
      <c r="K11" s="387"/>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86" t="s">
        <v>4</v>
      </c>
      <c r="D12" s="386"/>
      <c r="E12" s="386"/>
      <c r="F12" s="386"/>
      <c r="G12" s="386"/>
      <c r="J12" s="379"/>
      <c r="K12" s="387"/>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88" t="s">
        <v>226</v>
      </c>
      <c r="D13" s="389"/>
      <c r="E13" s="389"/>
      <c r="F13" s="389"/>
      <c r="G13" s="389"/>
      <c r="I13" s="17" t="s">
        <v>227</v>
      </c>
      <c r="J13" s="379"/>
      <c r="K13" s="387"/>
      <c r="BS13" s="27" t="str">
        <f>C13</f>
        <v xml:space="preserve"> 5.1.1.1 Устройство котлована</v>
      </c>
      <c r="IU13" s="23"/>
    </row>
    <row r="14" spans="1:255" hidden="1" outlineLevel="1" x14ac:dyDescent="0.2">
      <c r="G14" s="391" t="s">
        <v>228</v>
      </c>
      <c r="H14" s="391"/>
      <c r="I14" s="28" t="s">
        <v>229</v>
      </c>
      <c r="J14" s="392"/>
      <c r="K14" s="393"/>
      <c r="BW14" s="30">
        <f>J14</f>
        <v>0</v>
      </c>
      <c r="IU14" s="23"/>
    </row>
    <row r="15" spans="1:255" hidden="1" outlineLevel="1" x14ac:dyDescent="0.2">
      <c r="I15" s="29" t="s">
        <v>230</v>
      </c>
      <c r="J15" s="394"/>
      <c r="K15" s="395"/>
    </row>
    <row r="16" spans="1:255" s="16" customFormat="1" ht="11.25" hidden="1" outlineLevel="1" x14ac:dyDescent="0.2">
      <c r="I16" s="17" t="s">
        <v>231</v>
      </c>
      <c r="J16" s="396"/>
      <c r="K16" s="397"/>
    </row>
    <row r="17" spans="1:255" hidden="1" outlineLevel="1" x14ac:dyDescent="0.2"/>
    <row r="18" spans="1:255" hidden="1" outlineLevel="1" x14ac:dyDescent="0.2">
      <c r="G18" s="398" t="s">
        <v>232</v>
      </c>
      <c r="H18" s="398" t="s">
        <v>233</v>
      </c>
      <c r="I18" s="400" t="s">
        <v>234</v>
      </c>
      <c r="J18" s="401"/>
    </row>
    <row r="19" spans="1:255" ht="13.5" hidden="1" outlineLevel="1" thickBot="1" x14ac:dyDescent="0.25">
      <c r="G19" s="399"/>
      <c r="H19" s="399"/>
      <c r="I19" s="33" t="s">
        <v>235</v>
      </c>
      <c r="J19" s="34" t="s">
        <v>236</v>
      </c>
    </row>
    <row r="20" spans="1:255" ht="19.5" hidden="1" outlineLevel="1" thickBot="1" x14ac:dyDescent="0.35">
      <c r="C20" s="366" t="s">
        <v>237</v>
      </c>
      <c r="D20" s="366"/>
      <c r="E20" s="366"/>
      <c r="F20" s="366"/>
      <c r="G20" s="36"/>
      <c r="H20" s="37"/>
      <c r="I20" s="38"/>
      <c r="J20" s="39"/>
      <c r="K20" s="40"/>
    </row>
    <row r="21" spans="1:255" ht="15.75" hidden="1" outlineLevel="1" x14ac:dyDescent="0.25">
      <c r="C21" s="402" t="s">
        <v>238</v>
      </c>
      <c r="D21" s="402"/>
      <c r="E21" s="402"/>
      <c r="F21" s="402"/>
    </row>
    <row r="22" spans="1:255" hidden="1" outlineLevel="1" x14ac:dyDescent="0.2">
      <c r="C22" s="367"/>
      <c r="D22" s="365"/>
      <c r="E22" s="365"/>
      <c r="F22" s="365"/>
    </row>
    <row r="23" spans="1:255" hidden="1" outlineLevel="1" x14ac:dyDescent="0.2">
      <c r="C23" s="403" t="s">
        <v>15</v>
      </c>
      <c r="D23" s="404"/>
      <c r="E23" s="404"/>
      <c r="F23" s="404"/>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405">
        <f>K140/1000</f>
        <v>297.327</v>
      </c>
      <c r="F26" s="405"/>
      <c r="G26" s="16" t="s">
        <v>242</v>
      </c>
      <c r="H26" s="16"/>
      <c r="I26" s="16"/>
      <c r="J26" s="16"/>
      <c r="K26" s="16"/>
    </row>
    <row r="27" spans="1:255" collapsed="1" x14ac:dyDescent="0.2"/>
    <row r="28" spans="1:255" outlineLevel="1" x14ac:dyDescent="0.2">
      <c r="K28" s="41" t="s">
        <v>243</v>
      </c>
    </row>
    <row r="29" spans="1:255" ht="24" outlineLevel="1" x14ac:dyDescent="0.2">
      <c r="A29" s="21" t="s">
        <v>223</v>
      </c>
      <c r="C29" s="390" t="s">
        <v>4</v>
      </c>
      <c r="D29" s="390"/>
      <c r="E29" s="390"/>
      <c r="F29" s="390"/>
      <c r="G29" s="390"/>
      <c r="H29" s="390"/>
      <c r="I29" s="390"/>
      <c r="J29" s="390"/>
      <c r="K29" s="390"/>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90" t="s">
        <v>4</v>
      </c>
      <c r="D30" s="390"/>
      <c r="E30" s="390"/>
      <c r="F30" s="390"/>
      <c r="G30" s="390"/>
      <c r="H30" s="390"/>
      <c r="I30" s="390"/>
      <c r="J30" s="390"/>
      <c r="K30" s="390"/>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410" t="s">
        <v>244</v>
      </c>
      <c r="D31" s="390"/>
      <c r="E31" s="390"/>
      <c r="F31" s="390"/>
      <c r="G31" s="390"/>
      <c r="H31" s="390"/>
      <c r="I31" s="390"/>
      <c r="J31" s="390"/>
      <c r="K31" s="390"/>
      <c r="BT31" s="44" t="str">
        <f>C31</f>
        <v xml:space="preserve"> 5.1.1.1 Устройство котлована </v>
      </c>
      <c r="IU31" s="23"/>
    </row>
    <row r="32" spans="1:255" outlineLevel="1" x14ac:dyDescent="0.2"/>
    <row r="33" spans="1:255" ht="18.75" outlineLevel="1" x14ac:dyDescent="0.3">
      <c r="A33" s="366" t="s">
        <v>245</v>
      </c>
      <c r="B33" s="366"/>
      <c r="C33" s="366"/>
      <c r="D33" s="366"/>
      <c r="E33" s="366"/>
      <c r="F33" s="366"/>
      <c r="G33" s="366"/>
      <c r="H33" s="366"/>
      <c r="I33" s="366"/>
      <c r="J33" s="366"/>
      <c r="K33" s="366"/>
    </row>
    <row r="34" spans="1:255" outlineLevel="1" x14ac:dyDescent="0.2">
      <c r="A34" s="411" t="s">
        <v>15</v>
      </c>
      <c r="B34" s="411"/>
      <c r="C34" s="411"/>
      <c r="D34" s="411"/>
      <c r="E34" s="411"/>
      <c r="F34" s="411"/>
      <c r="G34" s="411"/>
      <c r="H34" s="411"/>
      <c r="I34" s="411"/>
      <c r="J34" s="411"/>
      <c r="K34" s="411"/>
      <c r="BV34" s="26" t="str">
        <f>A34</f>
        <v>Устройство котлована</v>
      </c>
      <c r="IU34" s="23"/>
    </row>
    <row r="35" spans="1:255" outlineLevel="1" x14ac:dyDescent="0.2">
      <c r="A35" s="21" t="s">
        <v>246</v>
      </c>
      <c r="C35" s="390" t="s">
        <v>402</v>
      </c>
      <c r="D35" s="390"/>
      <c r="E35" s="390"/>
      <c r="F35" s="390"/>
      <c r="G35" s="390"/>
      <c r="H35" s="390"/>
      <c r="I35" s="390"/>
      <c r="J35" s="390"/>
      <c r="K35" s="390"/>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406" t="s">
        <v>255</v>
      </c>
      <c r="B42" s="408" t="s">
        <v>256</v>
      </c>
      <c r="C42" s="408" t="s">
        <v>257</v>
      </c>
      <c r="D42" s="408" t="s">
        <v>258</v>
      </c>
      <c r="E42" s="408" t="s">
        <v>259</v>
      </c>
      <c r="F42" s="408" t="s">
        <v>260</v>
      </c>
      <c r="G42" s="408" t="s">
        <v>261</v>
      </c>
      <c r="H42" s="408" t="s">
        <v>262</v>
      </c>
      <c r="I42" s="408" t="s">
        <v>263</v>
      </c>
      <c r="J42" s="408" t="s">
        <v>264</v>
      </c>
      <c r="K42" s="415" t="s">
        <v>265</v>
      </c>
    </row>
    <row r="43" spans="1:255" x14ac:dyDescent="0.2">
      <c r="A43" s="407"/>
      <c r="B43" s="409"/>
      <c r="C43" s="409"/>
      <c r="D43" s="409"/>
      <c r="E43" s="409"/>
      <c r="F43" s="409"/>
      <c r="G43" s="409"/>
      <c r="H43" s="409"/>
      <c r="I43" s="409"/>
      <c r="J43" s="409"/>
      <c r="K43" s="416"/>
    </row>
    <row r="44" spans="1:255" x14ac:dyDescent="0.2">
      <c r="A44" s="407"/>
      <c r="B44" s="409"/>
      <c r="C44" s="409"/>
      <c r="D44" s="409"/>
      <c r="E44" s="409"/>
      <c r="F44" s="409"/>
      <c r="G44" s="409"/>
      <c r="H44" s="409"/>
      <c r="I44" s="409"/>
      <c r="J44" s="409"/>
      <c r="K44" s="416"/>
    </row>
    <row r="45" spans="1:255" ht="13.5" thickBot="1" x14ac:dyDescent="0.25">
      <c r="A45" s="407"/>
      <c r="B45" s="409"/>
      <c r="C45" s="409"/>
      <c r="D45" s="409"/>
      <c r="E45" s="409"/>
      <c r="F45" s="409"/>
      <c r="G45" s="409"/>
      <c r="H45" s="409"/>
      <c r="I45" s="409"/>
      <c r="J45" s="409"/>
      <c r="K45" s="416"/>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417" t="s">
        <v>16</v>
      </c>
      <c r="D48" s="417"/>
      <c r="E48" s="417"/>
      <c r="F48" s="417"/>
      <c r="G48" s="417"/>
      <c r="H48" s="417"/>
      <c r="I48" s="417"/>
      <c r="J48" s="417"/>
      <c r="K48" s="417"/>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412">
        <f>R56</f>
        <v>11777</v>
      </c>
      <c r="I56" s="413"/>
      <c r="J56" s="412">
        <f>S56</f>
        <v>92547</v>
      </c>
      <c r="K56" s="414"/>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418"/>
      <c r="I57" s="419"/>
      <c r="J57" s="418"/>
      <c r="K57" s="420"/>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412">
        <f>R61</f>
        <v>16406</v>
      </c>
      <c r="I61" s="413"/>
      <c r="J61" s="412">
        <f>S61</f>
        <v>116807</v>
      </c>
      <c r="K61" s="414"/>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418"/>
      <c r="I62" s="419"/>
      <c r="J62" s="418"/>
      <c r="K62" s="420"/>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412">
        <f>R70</f>
        <v>1635</v>
      </c>
      <c r="I70" s="413"/>
      <c r="J70" s="412">
        <f>S70</f>
        <v>17065</v>
      </c>
      <c r="K70" s="414"/>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418"/>
      <c r="I71" s="419"/>
      <c r="J71" s="418"/>
      <c r="K71" s="420"/>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412">
        <f>R78</f>
        <v>4719</v>
      </c>
      <c r="I78" s="413"/>
      <c r="J78" s="412">
        <f>S78</f>
        <v>113690</v>
      </c>
      <c r="K78" s="414"/>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418"/>
      <c r="I79" s="419"/>
      <c r="J79" s="418"/>
      <c r="K79" s="420"/>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1" hidden="1" x14ac:dyDescent="0.2">
      <c r="C97" s="141" t="s">
        <v>294</v>
      </c>
      <c r="D97" s="137"/>
      <c r="E97" s="137"/>
      <c r="F97" s="137"/>
      <c r="G97" s="137"/>
      <c r="H97" s="137"/>
      <c r="I97" s="139">
        <f>EJ80</f>
        <v>0</v>
      </c>
      <c r="J97" s="137"/>
      <c r="K97" s="139">
        <f>CM80</f>
        <v>0</v>
      </c>
    </row>
    <row r="98" spans="3:11" hidden="1" x14ac:dyDescent="0.2">
      <c r="C98" s="141" t="s">
        <v>295</v>
      </c>
      <c r="D98" s="137"/>
      <c r="E98" s="137"/>
      <c r="F98" s="137"/>
      <c r="G98" s="137"/>
      <c r="H98" s="137"/>
      <c r="I98" s="139">
        <f>EK80</f>
        <v>0</v>
      </c>
      <c r="J98" s="137"/>
      <c r="K98" s="139">
        <f>CN80</f>
        <v>0</v>
      </c>
    </row>
    <row r="99" spans="3:11" x14ac:dyDescent="0.2">
      <c r="C99" s="141" t="s">
        <v>296</v>
      </c>
      <c r="D99" s="137"/>
      <c r="E99" s="137"/>
      <c r="F99" s="137"/>
      <c r="G99" s="137"/>
      <c r="H99" s="137"/>
      <c r="I99" s="139">
        <f>EL80</f>
        <v>2189</v>
      </c>
      <c r="J99" s="137"/>
      <c r="K99" s="139">
        <f>CO80</f>
        <v>55455</v>
      </c>
    </row>
    <row r="100" spans="3:11" hidden="1" x14ac:dyDescent="0.2">
      <c r="C100" s="141" t="s">
        <v>297</v>
      </c>
      <c r="D100" s="137"/>
      <c r="E100" s="137"/>
      <c r="F100" s="137"/>
      <c r="G100" s="137"/>
      <c r="H100" s="137"/>
      <c r="I100" s="139">
        <f>EM80</f>
        <v>0</v>
      </c>
      <c r="J100" s="137"/>
      <c r="K100" s="139">
        <f>CP80</f>
        <v>0</v>
      </c>
    </row>
    <row r="101" spans="3:11" hidden="1" x14ac:dyDescent="0.2">
      <c r="C101" s="141" t="s">
        <v>298</v>
      </c>
      <c r="D101" s="137"/>
      <c r="E101" s="137"/>
      <c r="F101" s="137"/>
      <c r="G101" s="137"/>
      <c r="H101" s="137"/>
      <c r="I101" s="139">
        <f>EN80</f>
        <v>0</v>
      </c>
      <c r="J101" s="137"/>
      <c r="K101" s="139">
        <f>CQ80</f>
        <v>0</v>
      </c>
    </row>
    <row r="102" spans="3:11" hidden="1" x14ac:dyDescent="0.2">
      <c r="C102" s="141" t="s">
        <v>299</v>
      </c>
      <c r="D102" s="137"/>
      <c r="E102" s="137"/>
      <c r="F102" s="137"/>
      <c r="G102" s="137"/>
      <c r="H102" s="137"/>
      <c r="I102" s="139">
        <f>EO80</f>
        <v>0</v>
      </c>
      <c r="J102" s="137"/>
      <c r="K102" s="139">
        <f>CR80</f>
        <v>0</v>
      </c>
    </row>
    <row r="103" spans="3:11" hidden="1" x14ac:dyDescent="0.2">
      <c r="C103" s="141" t="s">
        <v>300</v>
      </c>
      <c r="D103" s="137"/>
      <c r="E103" s="137"/>
      <c r="F103" s="137"/>
      <c r="G103" s="137"/>
      <c r="H103" s="137"/>
      <c r="I103" s="139">
        <f>EP80</f>
        <v>0</v>
      </c>
      <c r="J103" s="137"/>
      <c r="K103" s="139">
        <f>CS80</f>
        <v>0</v>
      </c>
    </row>
    <row r="104" spans="3:11" hidden="1" x14ac:dyDescent="0.2">
      <c r="C104" s="141" t="s">
        <v>301</v>
      </c>
      <c r="D104" s="137"/>
      <c r="E104" s="137"/>
      <c r="F104" s="137"/>
      <c r="G104" s="137"/>
      <c r="H104" s="137"/>
      <c r="I104" s="139">
        <f>EQ80</f>
        <v>0</v>
      </c>
      <c r="J104" s="137"/>
      <c r="K104" s="139">
        <f>CT80</f>
        <v>0</v>
      </c>
    </row>
    <row r="105" spans="3:11" hidden="1" x14ac:dyDescent="0.2">
      <c r="C105" s="141" t="s">
        <v>302</v>
      </c>
      <c r="D105" s="137"/>
      <c r="E105" s="137"/>
      <c r="F105" s="137"/>
      <c r="G105" s="137"/>
      <c r="H105" s="137"/>
      <c r="I105" s="139">
        <f>ER80</f>
        <v>0</v>
      </c>
      <c r="J105" s="137"/>
      <c r="K105" s="139">
        <f>CU80</f>
        <v>0</v>
      </c>
    </row>
    <row r="107" spans="3:11" x14ac:dyDescent="0.2">
      <c r="C107" s="143" t="s">
        <v>303</v>
      </c>
      <c r="D107" s="142"/>
      <c r="E107" s="142"/>
      <c r="F107" s="142"/>
      <c r="G107" s="142"/>
      <c r="H107" s="142"/>
      <c r="I107" s="144">
        <f>EX80</f>
        <v>27701</v>
      </c>
      <c r="J107" s="142"/>
      <c r="K107" s="144">
        <f>DA80*0.9</f>
        <v>170286.30000000002</v>
      </c>
    </row>
    <row r="108" spans="3:11" x14ac:dyDescent="0.2">
      <c r="C108" s="140" t="s">
        <v>283</v>
      </c>
      <c r="D108" s="133"/>
      <c r="E108" s="133"/>
      <c r="F108" s="133"/>
      <c r="G108" s="133"/>
      <c r="H108" s="133"/>
      <c r="I108" s="133"/>
      <c r="J108" s="133"/>
      <c r="K108" s="133"/>
    </row>
    <row r="109" spans="3:11" x14ac:dyDescent="0.2">
      <c r="C109" s="145" t="s">
        <v>304</v>
      </c>
      <c r="D109" s="142"/>
      <c r="E109" s="142"/>
      <c r="F109" s="142"/>
      <c r="G109" s="142"/>
      <c r="H109" s="142"/>
      <c r="I109" s="144">
        <f>EY80</f>
        <v>1304</v>
      </c>
      <c r="J109" s="142"/>
      <c r="K109" s="144">
        <f>DB80</f>
        <v>23899</v>
      </c>
    </row>
    <row r="110" spans="3:11" hidden="1" x14ac:dyDescent="0.2">
      <c r="C110" s="146" t="s">
        <v>305</v>
      </c>
      <c r="D110" s="13"/>
      <c r="E110" s="13"/>
      <c r="F110" s="13"/>
      <c r="G110" s="13"/>
      <c r="H110" s="13"/>
      <c r="I110" s="135">
        <f>EZ80</f>
        <v>0</v>
      </c>
      <c r="J110" s="13"/>
      <c r="K110" s="135">
        <f>DC80</f>
        <v>0</v>
      </c>
    </row>
    <row r="111" spans="3:11" hidden="1" x14ac:dyDescent="0.2">
      <c r="C111" s="140" t="s">
        <v>283</v>
      </c>
      <c r="D111" s="133"/>
      <c r="E111" s="133"/>
      <c r="F111" s="133"/>
      <c r="G111" s="133"/>
      <c r="H111" s="133"/>
      <c r="I111" s="133"/>
      <c r="J111" s="133"/>
      <c r="K111" s="133"/>
    </row>
    <row r="112" spans="3:11" hidden="1" x14ac:dyDescent="0.2">
      <c r="C112" s="147" t="s">
        <v>306</v>
      </c>
      <c r="D112" s="13"/>
      <c r="E112" s="13"/>
      <c r="F112" s="13"/>
      <c r="G112" s="13"/>
      <c r="H112" s="13"/>
      <c r="I112" s="135">
        <f>FA80</f>
        <v>0</v>
      </c>
      <c r="J112" s="13"/>
      <c r="K112" s="135">
        <f>DD80</f>
        <v>0</v>
      </c>
    </row>
    <row r="113" spans="1:11" hidden="1" x14ac:dyDescent="0.2">
      <c r="C113" s="147" t="s">
        <v>307</v>
      </c>
      <c r="D113" s="13"/>
      <c r="E113" s="13"/>
      <c r="F113" s="13"/>
      <c r="G113" s="13"/>
      <c r="H113" s="13"/>
      <c r="I113" s="135">
        <f>FB80</f>
        <v>0</v>
      </c>
      <c r="J113" s="13"/>
      <c r="K113" s="135">
        <f>DE80</f>
        <v>0</v>
      </c>
    </row>
    <row r="114" spans="1:11" hidden="1" x14ac:dyDescent="0.2">
      <c r="C114" s="149" t="s">
        <v>308</v>
      </c>
      <c r="D114" s="148"/>
      <c r="E114" s="148"/>
      <c r="F114" s="148"/>
      <c r="G114" s="148"/>
      <c r="H114" s="148"/>
      <c r="I114" s="150">
        <f>FC80</f>
        <v>0</v>
      </c>
      <c r="J114" s="148"/>
      <c r="K114" s="150">
        <f>DF80</f>
        <v>0</v>
      </c>
    </row>
    <row r="115" spans="1:11" hidden="1" x14ac:dyDescent="0.2">
      <c r="C115" s="151" t="s">
        <v>309</v>
      </c>
      <c r="D115" s="148"/>
      <c r="E115" s="148"/>
      <c r="F115" s="148"/>
      <c r="G115" s="148"/>
      <c r="H115" s="148"/>
      <c r="I115" s="150">
        <f>FD80</f>
        <v>0</v>
      </c>
      <c r="J115" s="148"/>
      <c r="K115" s="150">
        <f>DG80</f>
        <v>0</v>
      </c>
    </row>
    <row r="116" spans="1:11" hidden="1" x14ac:dyDescent="0.2">
      <c r="C116" s="151" t="s">
        <v>310</v>
      </c>
      <c r="D116" s="148"/>
      <c r="E116" s="148"/>
      <c r="F116" s="148"/>
      <c r="G116" s="148"/>
      <c r="H116" s="148"/>
      <c r="I116" s="150">
        <f>FE80</f>
        <v>0</v>
      </c>
      <c r="J116" s="148"/>
      <c r="K116" s="150">
        <f>DH80</f>
        <v>0</v>
      </c>
    </row>
    <row r="117" spans="1:11" hidden="1" x14ac:dyDescent="0.2">
      <c r="C117" s="153" t="s">
        <v>311</v>
      </c>
      <c r="D117" s="152"/>
      <c r="E117" s="152"/>
      <c r="F117" s="152"/>
      <c r="G117" s="152"/>
      <c r="H117" s="152"/>
      <c r="I117" s="154">
        <f>FF80</f>
        <v>0</v>
      </c>
      <c r="J117" s="152"/>
      <c r="K117" s="154">
        <f>DI80</f>
        <v>0</v>
      </c>
    </row>
    <row r="118" spans="1:11" hidden="1" x14ac:dyDescent="0.2">
      <c r="C118" s="155" t="s">
        <v>312</v>
      </c>
      <c r="D118" s="152"/>
      <c r="E118" s="152"/>
      <c r="F118" s="152"/>
      <c r="G118" s="152"/>
      <c r="H118" s="152"/>
      <c r="I118" s="154">
        <f>FG80</f>
        <v>0</v>
      </c>
      <c r="J118" s="152"/>
      <c r="K118" s="154">
        <f>DJ80</f>
        <v>0</v>
      </c>
    </row>
    <row r="119" spans="1:11" hidden="1" x14ac:dyDescent="0.2">
      <c r="C119" s="155" t="s">
        <v>313</v>
      </c>
      <c r="D119" s="152"/>
      <c r="E119" s="152"/>
      <c r="F119" s="152"/>
      <c r="G119" s="152"/>
      <c r="H119" s="152"/>
      <c r="I119" s="154">
        <f>FH80</f>
        <v>0</v>
      </c>
      <c r="J119" s="152"/>
      <c r="K119" s="154">
        <f>DK80</f>
        <v>0</v>
      </c>
    </row>
    <row r="120" spans="1:11" hidden="1" x14ac:dyDescent="0.2">
      <c r="C120" s="146" t="s">
        <v>85</v>
      </c>
      <c r="D120" s="13"/>
      <c r="E120" s="13"/>
      <c r="F120" s="13"/>
      <c r="G120" s="13"/>
      <c r="H120" s="13"/>
      <c r="I120" s="135">
        <f>FI80</f>
        <v>0</v>
      </c>
      <c r="J120" s="13"/>
      <c r="K120" s="135">
        <f>DL80</f>
        <v>0</v>
      </c>
    </row>
    <row r="121" spans="1:11" hidden="1" x14ac:dyDescent="0.2">
      <c r="C121" s="146" t="s">
        <v>91</v>
      </c>
      <c r="D121" s="13"/>
      <c r="E121" s="13"/>
      <c r="F121" s="13"/>
      <c r="G121" s="13"/>
      <c r="H121" s="13"/>
      <c r="I121" s="135">
        <f>FJ80</f>
        <v>0</v>
      </c>
      <c r="J121" s="13"/>
      <c r="K121" s="135">
        <f>DM80</f>
        <v>0</v>
      </c>
    </row>
    <row r="122" spans="1:11" x14ac:dyDescent="0.2">
      <c r="C122" s="138" t="s">
        <v>314</v>
      </c>
      <c r="D122" s="137"/>
      <c r="E122" s="137"/>
      <c r="F122" s="137"/>
      <c r="G122" s="137"/>
      <c r="H122" s="137"/>
      <c r="I122" s="139">
        <f>EW80+EY80</f>
        <v>3493</v>
      </c>
      <c r="J122" s="137"/>
      <c r="K122" s="139">
        <f>CZ80+DB80</f>
        <v>79354</v>
      </c>
    </row>
    <row r="124" spans="1:11" x14ac:dyDescent="0.2">
      <c r="A124" s="156"/>
      <c r="B124" s="156"/>
      <c r="C124" s="156" t="s">
        <v>93</v>
      </c>
      <c r="D124" s="156"/>
      <c r="E124" s="156"/>
      <c r="F124" s="156"/>
      <c r="G124" s="156"/>
      <c r="H124" s="156"/>
      <c r="I124" s="157">
        <f>FW80</f>
        <v>16406</v>
      </c>
      <c r="J124" s="156"/>
      <c r="K124" s="157">
        <f>DZ80</f>
        <v>116807</v>
      </c>
    </row>
    <row r="125" spans="1:11" x14ac:dyDescent="0.2">
      <c r="A125" s="156"/>
      <c r="B125" s="156"/>
      <c r="C125" s="156" t="s">
        <v>315</v>
      </c>
      <c r="D125" s="156"/>
      <c r="E125" s="156"/>
      <c r="F125" s="156"/>
      <c r="G125" s="156"/>
      <c r="H125" s="156"/>
      <c r="I125" s="157">
        <f>FK80</f>
        <v>3004</v>
      </c>
      <c r="J125" s="156"/>
      <c r="K125" s="157">
        <f>DN80*0.75</f>
        <v>47985.75</v>
      </c>
    </row>
    <row r="126" spans="1:11" x14ac:dyDescent="0.2">
      <c r="A126" s="156"/>
      <c r="B126" s="156"/>
      <c r="C126" s="156" t="s">
        <v>316</v>
      </c>
      <c r="D126" s="156"/>
      <c r="E126" s="156"/>
      <c r="F126" s="156"/>
      <c r="G126" s="156"/>
      <c r="H126" s="156"/>
      <c r="I126" s="157">
        <f>FL80</f>
        <v>1643</v>
      </c>
      <c r="J126" s="156"/>
      <c r="K126" s="157">
        <f>DO80*0.75</f>
        <v>23599.5</v>
      </c>
    </row>
    <row r="128" spans="1:11" x14ac:dyDescent="0.2">
      <c r="C128" s="25" t="s">
        <v>317</v>
      </c>
      <c r="D128" s="25"/>
      <c r="E128" s="25"/>
      <c r="F128" s="25"/>
      <c r="G128" s="25"/>
      <c r="H128" s="25"/>
      <c r="I128" s="158">
        <f>FM80</f>
        <v>34537</v>
      </c>
      <c r="J128" s="25"/>
      <c r="K128" s="158">
        <f>'1.Лок.смета.и.Акт'!K128</f>
        <v>297326.55000000005</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'1.Лок.смета.и.Акт'!K138</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77"/>
      <c r="D145" s="377"/>
      <c r="E145" s="377"/>
      <c r="F145" s="377"/>
      <c r="G145" s="163"/>
      <c r="H145" s="163"/>
      <c r="I145" s="377"/>
      <c r="J145" s="377"/>
      <c r="BY145" s="164">
        <f>C145</f>
        <v>0</v>
      </c>
      <c r="BZ145" s="164">
        <f>I145</f>
        <v>0</v>
      </c>
      <c r="IU145" s="23"/>
    </row>
    <row r="146" spans="1:255" s="166" customFormat="1" ht="11.25" hidden="1" outlineLevel="1" x14ac:dyDescent="0.2">
      <c r="A146" s="165"/>
      <c r="B146" s="165"/>
      <c r="C146" s="421" t="s">
        <v>330</v>
      </c>
      <c r="D146" s="421"/>
      <c r="E146" s="421"/>
      <c r="F146" s="421"/>
      <c r="G146" s="421"/>
      <c r="H146" s="421"/>
      <c r="I146" s="421" t="s">
        <v>331</v>
      </c>
      <c r="J146" s="421"/>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77"/>
      <c r="D148" s="377"/>
      <c r="E148" s="377"/>
      <c r="F148" s="377"/>
      <c r="G148" s="163"/>
      <c r="H148" s="163"/>
      <c r="I148" s="377"/>
      <c r="J148" s="377"/>
      <c r="BY148" s="164">
        <f>C148</f>
        <v>0</v>
      </c>
      <c r="BZ148" s="164">
        <f>I148</f>
        <v>0</v>
      </c>
      <c r="IU148" s="23"/>
    </row>
    <row r="149" spans="1:255" s="166" customFormat="1" ht="11.25" hidden="1" outlineLevel="1" x14ac:dyDescent="0.2">
      <c r="A149" s="165"/>
      <c r="B149" s="165"/>
      <c r="C149" s="421" t="s">
        <v>330</v>
      </c>
      <c r="D149" s="421"/>
      <c r="E149" s="421"/>
      <c r="F149" s="421"/>
      <c r="G149" s="421"/>
      <c r="H149" s="421"/>
      <c r="I149" s="421" t="s">
        <v>331</v>
      </c>
      <c r="J149" s="421"/>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77" t="s">
        <v>403</v>
      </c>
      <c r="D154" s="377"/>
      <c r="E154" s="377"/>
      <c r="F154" s="377"/>
      <c r="G154" s="163"/>
      <c r="H154" s="163"/>
      <c r="I154" s="377" t="s">
        <v>7</v>
      </c>
      <c r="J154" s="377"/>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421" t="s">
        <v>330</v>
      </c>
      <c r="D155" s="421"/>
      <c r="E155" s="421"/>
      <c r="F155" s="421"/>
      <c r="G155" s="421"/>
      <c r="H155" s="421"/>
      <c r="I155" s="421" t="s">
        <v>331</v>
      </c>
      <c r="J155" s="421"/>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77" t="s">
        <v>343</v>
      </c>
      <c r="D157" s="377"/>
      <c r="E157" s="377"/>
      <c r="F157" s="377"/>
      <c r="G157" s="163"/>
      <c r="H157" s="163"/>
      <c r="I157" s="377" t="s">
        <v>337</v>
      </c>
      <c r="J157" s="377"/>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421" t="s">
        <v>330</v>
      </c>
      <c r="D158" s="421"/>
      <c r="E158" s="421"/>
      <c r="F158" s="421"/>
      <c r="G158" s="421"/>
      <c r="H158" s="421"/>
      <c r="I158" s="421" t="s">
        <v>331</v>
      </c>
      <c r="J158" s="421"/>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77" t="s">
        <v>344</v>
      </c>
      <c r="D160" s="377"/>
      <c r="E160" s="377"/>
      <c r="F160" s="377"/>
      <c r="G160" s="163"/>
      <c r="H160" s="163"/>
      <c r="I160" s="377" t="s">
        <v>345</v>
      </c>
      <c r="J160" s="377"/>
      <c r="BY160" s="164" t="str">
        <f>C160</f>
        <v>Руководитель ПТО ООО "ОСУ-2"</v>
      </c>
      <c r="BZ160" s="164" t="str">
        <f>I160</f>
        <v>Когтев В. И.</v>
      </c>
      <c r="IU160" s="23"/>
    </row>
    <row r="161" spans="1:10" s="166" customFormat="1" ht="11.25" hidden="1" outlineLevel="1" x14ac:dyDescent="0.2">
      <c r="A161" s="165"/>
      <c r="B161" s="165"/>
      <c r="C161" s="421" t="s">
        <v>330</v>
      </c>
      <c r="D161" s="421"/>
      <c r="E161" s="421"/>
      <c r="F161" s="421"/>
      <c r="G161" s="421"/>
      <c r="H161" s="421"/>
      <c r="I161" s="421" t="s">
        <v>331</v>
      </c>
      <c r="J161" s="421"/>
    </row>
    <row r="162" spans="1:10" hidden="1" outlineLevel="1" x14ac:dyDescent="0.2">
      <c r="A162" s="18"/>
      <c r="B162" s="18"/>
      <c r="C162" s="18"/>
      <c r="D162" s="18"/>
      <c r="E162" s="18"/>
      <c r="F162" s="18"/>
      <c r="G162" s="11" t="s">
        <v>332</v>
      </c>
      <c r="H162" s="18"/>
      <c r="I162" s="18"/>
      <c r="J162" s="18"/>
    </row>
    <row r="163" spans="1:10" collapsed="1" x14ac:dyDescent="0.2"/>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SUM('2.Лок.смета.и.Акт в ЕР'!AS47:'2.Лок.смета.и.Акт в ЕР'!AS79)</f>
        <v>0</v>
      </c>
      <c r="AZ14">
        <f>SUM('2.Лок.смета.и.Акт в ЕР'!AT47:'2.Лок.смета.и.Акт в ЕР'!AT79)</f>
        <v>0</v>
      </c>
      <c r="BA14">
        <f>SUM('2.Лок.смета.и.Акт в ЕР'!AU47:'2.Лок.смета.и.Акт в ЕР'!AU79)</f>
        <v>0</v>
      </c>
      <c r="BB14">
        <f>SUM('2.Лок.смета.и.Акт в ЕР'!AV47:'2.Лок.смета.и.Акт в ЕР'!AV79)</f>
        <v>0</v>
      </c>
      <c r="BC14">
        <f>SUM('2.Лок.смета.и.Акт в ЕР'!AW47:'2.Лок.смета.и.Акт в ЕР'!AW79)</f>
        <v>0</v>
      </c>
      <c r="BD14">
        <f>SUM('2.Лок.смета.и.Акт в ЕР'!AX47:'2.Лок.смета.и.Акт в ЕР'!AX79)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SUM('2.Лок.смета.и.Акт в ЕР'!GJ47:'2.Лок.смета.и.Акт в ЕР'!GJ79)</f>
        <v>29890</v>
      </c>
      <c r="EW14">
        <f>SUM('2.Лок.смета.и.Акт в ЕР'!GK47:'2.Лок.смета.и.Акт в ЕР'!GK79)</f>
        <v>2189</v>
      </c>
      <c r="EX14">
        <f>SUM('2.Лок.смета.и.Акт в ЕР'!GL47:'2.Лок.смета.и.Акт в ЕР'!GL79)</f>
        <v>27701</v>
      </c>
      <c r="EY14">
        <f>SUM('2.Лок.смета.и.Акт в ЕР'!GM47:'2.Лок.смета.и.Акт в ЕР'!GM79)</f>
        <v>1304</v>
      </c>
      <c r="EZ14">
        <f>SUM('2.Лок.смета.и.Акт в ЕР'!GN47:'2.Лок.смета.и.Акт в ЕР'!GN79)</f>
        <v>0</v>
      </c>
      <c r="FA14">
        <f>SUM('2.Лок.смета.и.Акт в ЕР'!GO47:'2.Лок.смета.и.Акт в ЕР'!GO79)</f>
        <v>0</v>
      </c>
      <c r="FB14">
        <f>SUM('2.Лок.смета.и.Акт в ЕР'!GP47:'2.Лок.смета.и.Акт в ЕР'!GP79)</f>
        <v>0</v>
      </c>
      <c r="FC14">
        <f>SUM('2.Лок.смета.и.Акт в ЕР'!GQ47:'2.Лок.смета.и.Акт в ЕР'!GQ79)</f>
        <v>0</v>
      </c>
      <c r="FD14">
        <f>SUM('2.Лок.смета.и.Акт в ЕР'!GR47:'2.Лок.смета.и.Акт в ЕР'!GR79)</f>
        <v>0</v>
      </c>
      <c r="FE14">
        <f>SUM('2.Лок.смета.и.Акт в ЕР'!GS47:'2.Лок.смета.и.Акт в ЕР'!GS79)</f>
        <v>0</v>
      </c>
      <c r="FF14">
        <f>SUM('2.Лок.смета.и.Акт в ЕР'!GT47:'2.Лок.смета.и.Акт в ЕР'!GT79)</f>
        <v>0</v>
      </c>
      <c r="FG14">
        <f>SUM('2.Лок.смета.и.Акт в ЕР'!GU47:'2.Лок.смета.и.Акт в ЕР'!GU79)</f>
        <v>0</v>
      </c>
      <c r="FH14">
        <f>SUM('2.Лок.смета.и.Акт в ЕР'!GV47:'2.Лок.смета.и.Акт в ЕР'!GV79)</f>
        <v>0</v>
      </c>
      <c r="FI14">
        <f>SUM('2.Лок.смета.и.Акт в ЕР'!GW47:'2.Лок.смета.и.Акт в ЕР'!GW79)</f>
        <v>0</v>
      </c>
      <c r="FJ14">
        <f>SUM('2.Лок.смета.и.Акт в ЕР'!GX47:'2.Лок.смета.и.Акт в ЕР'!GX79)</f>
        <v>0</v>
      </c>
      <c r="FK14">
        <f>SUM('2.Лок.смета.и.Акт в ЕР'!GY47:'2.Лок.смета.и.Акт в ЕР'!GY79)</f>
        <v>3004</v>
      </c>
      <c r="FL14">
        <f>SUM('2.Лок.смета.и.Акт в ЕР'!GZ47:'2.Лок.смета.и.Акт в ЕР'!GZ79)</f>
        <v>1643</v>
      </c>
      <c r="FM14">
        <f>SUM('2.Лок.смета.и.Акт в ЕР'!HA47:'2.Лок.смета.и.Акт в ЕР'!HA79)</f>
        <v>34537</v>
      </c>
      <c r="FN14">
        <f>SUM('2.Лок.смета.и.Акт в ЕР'!HB47:'2.Лок.смета.и.Акт в ЕР'!HB79)</f>
        <v>34537</v>
      </c>
      <c r="FO14">
        <f>SUM('2.Лок.смета.и.Акт в ЕР'!HC47:'2.Лок.смета.и.Акт в ЕР'!HC79)</f>
        <v>0</v>
      </c>
      <c r="FP14">
        <f>SUM('2.Лок.смета.и.Акт в ЕР'!HD47:'2.Лок.смета.и.Акт в ЕР'!HD79)</f>
        <v>0</v>
      </c>
      <c r="FQ14">
        <f>SUM('2.Лок.смета.и.Акт в ЕР'!HE47:'2.Лок.смета.и.Акт в ЕР'!HE79)</f>
        <v>0</v>
      </c>
      <c r="FR14">
        <f>'2.Лок.смета.и.Акт в ЕР'!FN80+'2.Лок.смета.и.Акт в ЕР'!FO80</f>
        <v>34537</v>
      </c>
      <c r="FS14">
        <f>SUM('2.Лок.смета.и.Акт в ЕР'!HG47:'2.Лок.смета.и.Акт в ЕР'!HG79)</f>
        <v>0</v>
      </c>
      <c r="FT14">
        <f>SUM('2.Лок.смета.и.Акт в ЕР'!HH47:'2.Лок.смета.и.Акт в ЕР'!HH79)</f>
        <v>0</v>
      </c>
      <c r="FU14">
        <f>SUM('2.Лок.смета.и.Акт в ЕР'!HI47:'2.Лок.смета.и.Акт в ЕР'!HI79)</f>
        <v>0</v>
      </c>
      <c r="FV14">
        <f>SUM('2.Лок.смета.и.Акт в ЕР'!HJ47:'2.Лок.смета.и.Акт в ЕР'!HJ79)</f>
        <v>0</v>
      </c>
      <c r="FW14">
        <f>SUM('2.Лок.смета.и.Акт в ЕР'!HK47:'2.Лок.смета.и.Акт в ЕР'!HK79)</f>
        <v>16406</v>
      </c>
      <c r="FX14">
        <f>SUMIF('2.Лок.смета.и.Акт в ЕР'!CV47:'2.Лок.смета.и.Акт в ЕР'!CV79,1,'2.Лок.смета.и.Акт в ЕР'!GK47:'2.Лок.смета.и.Акт в ЕР'!GK79)</f>
        <v>2189</v>
      </c>
      <c r="FY14">
        <f>SUMIF('2.Лок.смета.и.Акт в ЕР'!CV47:'2.Лок.смета.и.Акт в ЕР'!CV79,2,'2.Лок.смета.и.Акт в ЕР'!GK47:'2.Лок.смета.и.Акт в ЕР'!GK79)</f>
        <v>0</v>
      </c>
      <c r="FZ14">
        <f>SUMIF('2.Лок.смета.и.Акт в ЕР'!CV47:'2.Лок.смета.и.Акт в ЕР'!CV79,5,'2.Лок.смета.и.Акт в ЕР'!GK47:'2.Лок.смета.и.Акт в ЕР'!GK79)</f>
        <v>0</v>
      </c>
      <c r="GA14">
        <f>SUMIF('2.Лок.смета.и.Акт в ЕР'!CV47:'2.Лок.смета.и.Акт в ЕР'!CV79,4,'2.Лок.смета.и.Акт в ЕР'!GK47:'2.Лок.смета.и.Акт в ЕР'!GK79)</f>
        <v>0</v>
      </c>
      <c r="GB14">
        <f>SUMIF('2.Лок.смета.и.Акт в ЕР'!CV47:'2.Лок.смета.и.Акт в ЕР'!CV79,1,'2.Лок.смета.и.Акт в ЕР'!GL47:'2.Лок.смета.и.Акт в ЕР'!GL79)</f>
        <v>27701</v>
      </c>
      <c r="GC14">
        <f>SUMIF('2.Лок.смета.и.Акт в ЕР'!CV47:'2.Лок.смета.и.Акт в ЕР'!CV79,2,'2.Лок.смета.и.Акт в ЕР'!GL47:'2.Лок.смета.и.Акт в ЕР'!GL79)</f>
        <v>0</v>
      </c>
      <c r="GD14">
        <f>SUMIF('2.Лок.смета.и.Акт в ЕР'!CV47:'2.Лок.смета.и.Акт в ЕР'!CV79,4,'2.Лок.смета.и.Акт в ЕР'!GL47:'2.Лок.смета.и.Акт в ЕР'!GL79)</f>
        <v>0</v>
      </c>
      <c r="GE14">
        <f>SUMIF('2.Лок.смета.и.Акт в ЕР'!CV47:'2.Лок.смета.и.Акт в ЕР'!CV79,1,'2.Лок.смета.и.Акт в ЕР'!GQ47:'2.Лок.смета.и.Акт в ЕР'!GQ79)</f>
        <v>0</v>
      </c>
      <c r="GF14">
        <f>SUMIF('2.Лок.смета.и.Акт в ЕР'!CV47:'2.Лок.смета.и.Акт в ЕР'!CV79,2,'2.Лок.смета.и.Акт в ЕР'!GQ47:'2.Лок.смета.и.Акт в ЕР'!GQ79)</f>
        <v>0</v>
      </c>
      <c r="GG14">
        <f>SUMIF('2.Лок.смета.и.Акт в ЕР'!CV47:'2.Лок.смета.и.Акт в ЕР'!CV79,4,'2.Лок.смета.и.Акт в ЕР'!GQ47:'2.Лок.смета.и.Акт в ЕР'!GQ79)</f>
        <v>0</v>
      </c>
      <c r="IB14">
        <f>SUM('2.Лок.смета.и.Акт в ЕР'!HO47:'2.Лок.смета.и.Акт в ЕР'!HO79)</f>
        <v>16406</v>
      </c>
      <c r="IC14">
        <f>SUM('2.Лок.смета.и.Акт в ЕР'!HQ47:'2.Лок.смета.и.Акт в ЕР'!HQ79)</f>
        <v>0</v>
      </c>
      <c r="ID14">
        <f>SUM('2.Лок.смета.и.Акт в ЕР'!HS47:'2.Лок.смета.и.Акт в ЕР'!HS79)</f>
        <v>0</v>
      </c>
      <c r="IE14">
        <f>SUM('2.Лок.смета.и.Акт в ЕР'!HU47:'2.Лок.смета.и.Акт в ЕР'!HU79)</f>
        <v>0</v>
      </c>
      <c r="IF14">
        <f>SUM('2.Лок.смета.и.Акт в ЕР'!HY47:'2.Лок.смета.и.Акт в ЕР'!HY79)</f>
        <v>0</v>
      </c>
      <c r="IG14">
        <f>SUM('2.Лок.смета.и.Акт в ЕР'!HZ47:'2.Лок.смета.и.Акт в ЕР'!HZ79)</f>
        <v>0</v>
      </c>
      <c r="IH14">
        <f>SUM('2.Лок.смета.и.Акт в ЕР'!HL47:'2.Лок.смета.и.Акт в ЕР'!HL79)</f>
        <v>18131</v>
      </c>
      <c r="II14">
        <f>SUM('2.Лок.смета.и.Акт в ЕР'!HN47:'2.Лок.смета.и.Акт в ЕР'!HN79)</f>
        <v>18131</v>
      </c>
      <c r="IJ14">
        <f>SUM('2.Лок.смета.и.Акт в ЕР'!HP47:'2.Лок.смета.и.Акт в ЕР'!HP79)</f>
        <v>0</v>
      </c>
      <c r="IK14">
        <f>SUM('2.Лок.смета.и.Акт в ЕР'!HR47:'2.Лок.смета.и.Акт в ЕР'!HR79)</f>
        <v>0</v>
      </c>
      <c r="IL14">
        <f>SUM('2.Лок.смета.и.Акт в ЕР'!HT47:'2.Лок.смета.и.Акт в ЕР'!HT79)</f>
        <v>0</v>
      </c>
      <c r="IM14">
        <f>SUM('2.Лок.смета.и.Акт в ЕР'!HW47:'2.Лок.смета.и.Акт в ЕР'!HW79)</f>
        <v>0</v>
      </c>
      <c r="IN14">
        <f>SUMIF('2.Лок.смета.и.Акт в ЕР'!CV47:'2.Лок.смета.и.Акт в ЕР'!CV79,1,'2.Лок.смета.и.Акт в ЕР'!GY47:'2.Лок.смета.и.Акт в ЕР'!GY79)</f>
        <v>3004</v>
      </c>
      <c r="IO14">
        <f>SUMIF('2.Лок.смета.и.Акт в ЕР'!CV47:'2.Лок.смета.и.Акт в ЕР'!CV79,2,'2.Лок.смета.и.Акт в ЕР'!GY47:'2.Лок.смета.и.Акт в ЕР'!GY79)</f>
        <v>0</v>
      </c>
      <c r="IP14">
        <f>SUMIF('2.Лок.смета.и.Акт в ЕР'!CV47:'2.Лок.смета.и.Акт в ЕР'!CV79,5,'2.Лок.смета.и.Акт в ЕР'!GY47:'2.Лок.смета.и.Акт в ЕР'!GY79)</f>
        <v>0</v>
      </c>
      <c r="IQ14">
        <f>SUMIF('2.Лок.смета.и.Акт в ЕР'!CV47:'2.Лок.смета.и.Акт в ЕР'!CV79,4,'2.Лок.смета.и.Акт в ЕР'!GY47:'2.Лок.смета.и.Акт в ЕР'!GY79)</f>
        <v>0</v>
      </c>
      <c r="IR14">
        <f>SUMIF('2.Лок.смета.и.Акт в ЕР'!CV47:'2.Лок.смета.и.Акт в ЕР'!CV79,1,'2.Лок.смета.и.Акт в ЕР'!GZ47:'2.Лок.смета.и.Акт в ЕР'!GZ79)</f>
        <v>1643</v>
      </c>
      <c r="IS14">
        <f>SUMIF('2.Лок.смета.и.Акт в ЕР'!CV47:'2.Лок.смета.и.Акт в ЕР'!CV79,2,'2.Лок.смета.и.Акт в ЕР'!GZ47:'2.Лок.смета.и.Акт в ЕР'!GZ79)</f>
        <v>0</v>
      </c>
      <c r="IT14">
        <f>SUMIF('2.Лок.смета.и.Акт в ЕР'!CV47:'2.Лок.смета.и.Акт в ЕР'!CV79,5,'2.Лок.смета.и.Акт в ЕР'!GZ47:'2.Лок.смета.и.Акт в ЕР'!GZ79)</f>
        <v>0</v>
      </c>
      <c r="IU14">
        <f>SUMIF('2.Лок.смета.и.Акт в ЕР'!CV47:'2.Лок.смета.и.Акт в ЕР'!CV79,4,'2.Лок.смета.и.Акт в ЕР'!GZ47:'2.Лок.смета.и.Акт в ЕР'!GZ79)</f>
        <v>0</v>
      </c>
    </row>
    <row r="15" spans="1:255" x14ac:dyDescent="0.2">
      <c r="A15">
        <v>999</v>
      </c>
      <c r="B15" t="s">
        <v>340</v>
      </c>
    </row>
    <row r="80" spans="57:68" x14ac:dyDescent="0.2">
      <c r="BE80">
        <f>SUMIF('2.Лок.смета.и.Акт в ЕР'!CV47:'2.Лок.смета.и.Акт в ЕР'!CV79,1,'2.Лок.смета.и.Акт в ЕР'!AV47:'2.Лок.смета.и.Акт в ЕР'!AV79)</f>
        <v>0</v>
      </c>
      <c r="BF80">
        <f>SUMIF('2.Лок.смета.и.Акт в ЕР'!CV47:'2.Лок.смета.и.Акт в ЕР'!CV79,2,'2.Лок.смета.и.Акт в ЕР'!AV47:'2.Лок.смета.и.Акт в ЕР'!AV79)</f>
        <v>0</v>
      </c>
      <c r="BG80">
        <f>SUMIF('2.Лок.смета.и.Акт в ЕР'!CV47:'2.Лок.смета.и.Акт в ЕР'!CV79,5,'2.Лок.смета.и.Акт в ЕР'!AV47:'2.Лок.смета.и.Акт в ЕР'!AV79)</f>
        <v>0</v>
      </c>
      <c r="BH80">
        <f>SUMIF('2.Лок.смета.и.Акт в ЕР'!CV47:'2.Лок.смета.и.Акт в ЕР'!CV79,4,'2.Лок.смета.и.Акт в ЕР'!AV47:'2.Лок.смета.и.Акт в ЕР'!AV79)</f>
        <v>0</v>
      </c>
      <c r="BI80">
        <f>SUMIF('2.Лок.смета.и.Акт в ЕР'!CV47:'2.Лок.смета.и.Акт в ЕР'!CV79,1,'2.Лок.смета.и.Акт в ЕР'!AW47:'2.Лок.смета.и.Акт в ЕР'!AW79)</f>
        <v>0</v>
      </c>
      <c r="BJ80">
        <f>SUMIF('2.Лок.смета.и.Акт в ЕР'!CV47:'2.Лок.смета.и.Акт в ЕР'!CV79,2,'2.Лок.смета.и.Акт в ЕР'!AW47:'2.Лок.смета.и.Акт в ЕР'!AW79)</f>
        <v>0</v>
      </c>
      <c r="BK80">
        <f>SUMIF('2.Лок.смета.и.Акт в ЕР'!CV47:'2.Лок.смета.и.Акт в ЕР'!CV79,5,'2.Лок.смета.и.Акт в ЕР'!AW47:'2.Лок.смета.и.Акт в ЕР'!AW79)</f>
        <v>0</v>
      </c>
      <c r="BL80">
        <f>SUMIF('2.Лок.смета.и.Акт в ЕР'!CV47:'2.Лок.смета.и.Акт в ЕР'!CV79,4,'2.Лок.смета.и.Акт в ЕР'!AW47:'2.Лок.смета.и.Акт в ЕР'!AW79)</f>
        <v>0</v>
      </c>
      <c r="BM80">
        <f>SUMIF('2.Лок.смета.и.Акт в ЕР'!CV47:'2.Лок.смета.и.Акт в ЕР'!CV79,1,'2.Лок.смета.и.Акт в ЕР'!AX47:'2.Лок.смета.и.Акт в ЕР'!AX79)</f>
        <v>0</v>
      </c>
      <c r="BN80">
        <f>SUMIF('2.Лок.смета.и.Акт в ЕР'!CV47:'2.Лок.смета.и.Акт в ЕР'!CV79,2,'2.Лок.смета.и.Акт в ЕР'!AX47:'2.Лок.смета.и.Акт в ЕР'!AX79)</f>
        <v>0</v>
      </c>
      <c r="BO80">
        <f>SUMIF('2.Лок.смета.и.Акт в ЕР'!CV47:'2.Лок.смета.и.Акт в ЕР'!CV79,5,'2.Лок.смета.и.Акт в ЕР'!AX47:'2.Лок.смета.и.Акт в ЕР'!AX79)</f>
        <v>0</v>
      </c>
      <c r="BP80">
        <f>SUMIF('2.Лок.смета.и.Акт в ЕР'!CV47:'2.Лок.смета.и.Акт в ЕР'!CV79,4,'2.Лок.смета.и.Акт в ЕР'!AX47:'2.Лок.смета.и.Акт в ЕР'!AX79)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4"/>
  <sheetViews>
    <sheetView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81" t="s">
        <v>212</v>
      </c>
      <c r="I2" s="381"/>
      <c r="J2" s="381"/>
      <c r="K2" s="381"/>
    </row>
    <row r="3" spans="1:255" hidden="1" outlineLevel="1" x14ac:dyDescent="0.2">
      <c r="H3" s="381" t="s">
        <v>213</v>
      </c>
      <c r="I3" s="381"/>
      <c r="J3" s="381"/>
      <c r="K3" s="381"/>
    </row>
    <row r="4" spans="1:255" hidden="1" outlineLevel="1" x14ac:dyDescent="0.2">
      <c r="H4" s="381" t="s">
        <v>214</v>
      </c>
      <c r="I4" s="381"/>
      <c r="J4" s="381"/>
      <c r="K4" s="381"/>
    </row>
    <row r="5" spans="1:255" s="14" customFormat="1" ht="11.25" hidden="1" outlineLevel="1" x14ac:dyDescent="0.2">
      <c r="J5" s="382" t="s">
        <v>215</v>
      </c>
      <c r="K5" s="383"/>
    </row>
    <row r="6" spans="1:255" s="16" customFormat="1" ht="9.75" hidden="1" outlineLevel="1" x14ac:dyDescent="0.2">
      <c r="I6" s="17" t="s">
        <v>216</v>
      </c>
      <c r="J6" s="384" t="s">
        <v>217</v>
      </c>
      <c r="K6" s="385"/>
    </row>
    <row r="7" spans="1:255" hidden="1" outlineLevel="1" x14ac:dyDescent="0.2">
      <c r="A7" s="21" t="s">
        <v>218</v>
      </c>
      <c r="B7" s="19"/>
      <c r="C7" s="359"/>
      <c r="D7" s="360"/>
      <c r="E7" s="360"/>
      <c r="F7" s="360"/>
      <c r="G7" s="360"/>
      <c r="I7" s="17" t="s">
        <v>219</v>
      </c>
      <c r="J7" s="379"/>
      <c r="K7" s="380"/>
      <c r="BR7" s="22">
        <f>C7</f>
        <v>0</v>
      </c>
      <c r="IU7" s="23"/>
    </row>
    <row r="8" spans="1:255" hidden="1" outlineLevel="1" x14ac:dyDescent="0.2">
      <c r="A8" s="21" t="s">
        <v>220</v>
      </c>
      <c r="B8" s="19"/>
      <c r="C8" s="361"/>
      <c r="D8" s="362"/>
      <c r="E8" s="362"/>
      <c r="F8" s="362"/>
      <c r="G8" s="362"/>
      <c r="I8" s="17" t="s">
        <v>219</v>
      </c>
      <c r="J8" s="379"/>
      <c r="K8" s="380"/>
      <c r="BR8" s="22">
        <f>C8</f>
        <v>0</v>
      </c>
      <c r="IU8" s="23"/>
    </row>
    <row r="9" spans="1:255" hidden="1" outlineLevel="1" x14ac:dyDescent="0.2">
      <c r="A9" s="21" t="s">
        <v>221</v>
      </c>
      <c r="B9" s="19"/>
      <c r="C9" s="361"/>
      <c r="D9" s="362"/>
      <c r="E9" s="362"/>
      <c r="F9" s="362"/>
      <c r="G9" s="362"/>
      <c r="I9" s="17" t="s">
        <v>219</v>
      </c>
      <c r="J9" s="379"/>
      <c r="K9" s="380"/>
      <c r="BR9" s="22">
        <f>C9</f>
        <v>0</v>
      </c>
      <c r="IU9" s="23"/>
    </row>
    <row r="10" spans="1:255" hidden="1" outlineLevel="1" x14ac:dyDescent="0.2">
      <c r="A10" s="21" t="s">
        <v>222</v>
      </c>
      <c r="B10" s="19"/>
      <c r="C10" s="361"/>
      <c r="D10" s="362"/>
      <c r="E10" s="362"/>
      <c r="F10" s="362"/>
      <c r="G10" s="362"/>
      <c r="I10" s="17" t="s">
        <v>219</v>
      </c>
      <c r="J10" s="379"/>
      <c r="K10" s="380"/>
      <c r="BR10" s="22">
        <f>C10</f>
        <v>0</v>
      </c>
      <c r="IU10" s="23"/>
    </row>
    <row r="11" spans="1:255" ht="38.25" hidden="1" outlineLevel="1" x14ac:dyDescent="0.2">
      <c r="A11" s="21" t="s">
        <v>223</v>
      </c>
      <c r="C11" s="386" t="s">
        <v>4</v>
      </c>
      <c r="D11" s="386"/>
      <c r="E11" s="386"/>
      <c r="F11" s="386"/>
      <c r="G11" s="386"/>
      <c r="J11" s="379"/>
      <c r="K11" s="387"/>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86" t="s">
        <v>4</v>
      </c>
      <c r="D12" s="386"/>
      <c r="E12" s="386"/>
      <c r="F12" s="386"/>
      <c r="G12" s="386"/>
      <c r="J12" s="379"/>
      <c r="K12" s="387"/>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88" t="s">
        <v>226</v>
      </c>
      <c r="D13" s="389"/>
      <c r="E13" s="389"/>
      <c r="F13" s="389"/>
      <c r="G13" s="389"/>
      <c r="I13" s="17" t="s">
        <v>227</v>
      </c>
      <c r="J13" s="379"/>
      <c r="K13" s="387"/>
      <c r="BS13" s="27" t="str">
        <f>C13</f>
        <v xml:space="preserve"> 5.1.1.1 Устройство котлована</v>
      </c>
      <c r="IU13" s="23"/>
    </row>
    <row r="14" spans="1:255" hidden="1" outlineLevel="1" x14ac:dyDescent="0.2">
      <c r="G14" s="391" t="s">
        <v>228</v>
      </c>
      <c r="H14" s="391"/>
      <c r="I14" s="28" t="s">
        <v>229</v>
      </c>
      <c r="J14" s="392"/>
      <c r="K14" s="393"/>
      <c r="BW14" s="30">
        <f>J14</f>
        <v>0</v>
      </c>
      <c r="IU14" s="23"/>
    </row>
    <row r="15" spans="1:255" hidden="1" outlineLevel="1" x14ac:dyDescent="0.2">
      <c r="I15" s="29" t="s">
        <v>230</v>
      </c>
      <c r="J15" s="394"/>
      <c r="K15" s="395"/>
    </row>
    <row r="16" spans="1:255" s="16" customFormat="1" ht="11.25" hidden="1" outlineLevel="1" x14ac:dyDescent="0.2">
      <c r="I16" s="17" t="s">
        <v>231</v>
      </c>
      <c r="J16" s="396"/>
      <c r="K16" s="397"/>
    </row>
    <row r="17" spans="1:255" hidden="1" outlineLevel="1" x14ac:dyDescent="0.2"/>
    <row r="18" spans="1:255" hidden="1" outlineLevel="1" x14ac:dyDescent="0.2">
      <c r="G18" s="398" t="s">
        <v>232</v>
      </c>
      <c r="H18" s="398" t="s">
        <v>233</v>
      </c>
      <c r="I18" s="400" t="s">
        <v>234</v>
      </c>
      <c r="J18" s="401"/>
    </row>
    <row r="19" spans="1:255" ht="13.5" hidden="1" outlineLevel="1" thickBot="1" x14ac:dyDescent="0.25">
      <c r="G19" s="399"/>
      <c r="H19" s="399"/>
      <c r="I19" s="33" t="s">
        <v>235</v>
      </c>
      <c r="J19" s="34" t="s">
        <v>236</v>
      </c>
    </row>
    <row r="20" spans="1:255" ht="19.5" hidden="1" outlineLevel="1" thickBot="1" x14ac:dyDescent="0.35">
      <c r="C20" s="366" t="s">
        <v>237</v>
      </c>
      <c r="D20" s="366"/>
      <c r="E20" s="366"/>
      <c r="F20" s="366"/>
      <c r="G20" s="36"/>
      <c r="H20" s="37"/>
      <c r="I20" s="38"/>
      <c r="J20" s="39"/>
      <c r="K20" s="40"/>
    </row>
    <row r="21" spans="1:255" ht="15.75" hidden="1" outlineLevel="1" x14ac:dyDescent="0.25">
      <c r="C21" s="402" t="s">
        <v>238</v>
      </c>
      <c r="D21" s="402"/>
      <c r="E21" s="402"/>
      <c r="F21" s="402"/>
    </row>
    <row r="22" spans="1:255" hidden="1" outlineLevel="1" x14ac:dyDescent="0.2">
      <c r="C22" s="367"/>
      <c r="D22" s="365"/>
      <c r="E22" s="365"/>
      <c r="F22" s="365"/>
    </row>
    <row r="23" spans="1:255" hidden="1" outlineLevel="1" x14ac:dyDescent="0.2">
      <c r="C23" s="403" t="s">
        <v>15</v>
      </c>
      <c r="D23" s="404"/>
      <c r="E23" s="404"/>
      <c r="F23" s="404"/>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405">
        <f>K140/1000</f>
        <v>297.327</v>
      </c>
      <c r="F26" s="405"/>
      <c r="G26" s="16" t="s">
        <v>242</v>
      </c>
      <c r="H26" s="16"/>
      <c r="I26" s="16"/>
      <c r="J26" s="16"/>
      <c r="K26" s="16"/>
    </row>
    <row r="27" spans="1:255" collapsed="1" x14ac:dyDescent="0.2"/>
    <row r="28" spans="1:255" outlineLevel="1" x14ac:dyDescent="0.2">
      <c r="K28" s="41" t="s">
        <v>243</v>
      </c>
    </row>
    <row r="29" spans="1:255" ht="24" outlineLevel="1" x14ac:dyDescent="0.2">
      <c r="A29" s="21" t="s">
        <v>223</v>
      </c>
      <c r="C29" s="390" t="s">
        <v>4</v>
      </c>
      <c r="D29" s="390"/>
      <c r="E29" s="390"/>
      <c r="F29" s="390"/>
      <c r="G29" s="390"/>
      <c r="H29" s="390"/>
      <c r="I29" s="390"/>
      <c r="J29" s="390"/>
      <c r="K29" s="390"/>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90" t="s">
        <v>4</v>
      </c>
      <c r="D30" s="390"/>
      <c r="E30" s="390"/>
      <c r="F30" s="390"/>
      <c r="G30" s="390"/>
      <c r="H30" s="390"/>
      <c r="I30" s="390"/>
      <c r="J30" s="390"/>
      <c r="K30" s="390"/>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410" t="s">
        <v>244</v>
      </c>
      <c r="D31" s="390"/>
      <c r="E31" s="390"/>
      <c r="F31" s="390"/>
      <c r="G31" s="390"/>
      <c r="H31" s="390"/>
      <c r="I31" s="390"/>
      <c r="J31" s="390"/>
      <c r="K31" s="390"/>
      <c r="BT31" s="44" t="str">
        <f>C31</f>
        <v xml:space="preserve"> 5.1.1.1 Устройство котлована </v>
      </c>
      <c r="IU31" s="23"/>
    </row>
    <row r="32" spans="1:255" outlineLevel="1" x14ac:dyDescent="0.2"/>
    <row r="33" spans="1:255" ht="18.75" outlineLevel="1" x14ac:dyDescent="0.3">
      <c r="A33" s="366" t="s">
        <v>245</v>
      </c>
      <c r="B33" s="366"/>
      <c r="C33" s="366"/>
      <c r="D33" s="366"/>
      <c r="E33" s="366"/>
      <c r="F33" s="366"/>
      <c r="G33" s="366"/>
      <c r="H33" s="366"/>
      <c r="I33" s="366"/>
      <c r="J33" s="366"/>
      <c r="K33" s="366"/>
    </row>
    <row r="34" spans="1:255" outlineLevel="1" x14ac:dyDescent="0.2">
      <c r="A34" s="411" t="s">
        <v>15</v>
      </c>
      <c r="B34" s="411"/>
      <c r="C34" s="411"/>
      <c r="D34" s="411"/>
      <c r="E34" s="411"/>
      <c r="F34" s="411"/>
      <c r="G34" s="411"/>
      <c r="H34" s="411"/>
      <c r="I34" s="411"/>
      <c r="J34" s="411"/>
      <c r="K34" s="411"/>
      <c r="BV34" s="26" t="str">
        <f>A34</f>
        <v>Устройство котлована</v>
      </c>
      <c r="IU34" s="23"/>
    </row>
    <row r="35" spans="1:255" outlineLevel="1" x14ac:dyDescent="0.2">
      <c r="A35" s="21" t="s">
        <v>246</v>
      </c>
      <c r="C35" s="390" t="s">
        <v>402</v>
      </c>
      <c r="D35" s="390"/>
      <c r="E35" s="390"/>
      <c r="F35" s="390"/>
      <c r="G35" s="390"/>
      <c r="H35" s="390"/>
      <c r="I35" s="390"/>
      <c r="J35" s="390"/>
      <c r="K35" s="390"/>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406" t="s">
        <v>255</v>
      </c>
      <c r="B42" s="408" t="s">
        <v>256</v>
      </c>
      <c r="C42" s="408" t="s">
        <v>257</v>
      </c>
      <c r="D42" s="408" t="s">
        <v>258</v>
      </c>
      <c r="E42" s="408" t="s">
        <v>259</v>
      </c>
      <c r="F42" s="408" t="s">
        <v>260</v>
      </c>
      <c r="G42" s="408" t="s">
        <v>261</v>
      </c>
      <c r="H42" s="408" t="s">
        <v>262</v>
      </c>
      <c r="I42" s="408" t="s">
        <v>263</v>
      </c>
      <c r="J42" s="408" t="s">
        <v>264</v>
      </c>
      <c r="K42" s="415" t="s">
        <v>265</v>
      </c>
    </row>
    <row r="43" spans="1:255" x14ac:dyDescent="0.2">
      <c r="A43" s="407"/>
      <c r="B43" s="409"/>
      <c r="C43" s="409"/>
      <c r="D43" s="409"/>
      <c r="E43" s="409"/>
      <c r="F43" s="409"/>
      <c r="G43" s="409"/>
      <c r="H43" s="409"/>
      <c r="I43" s="409"/>
      <c r="J43" s="409"/>
      <c r="K43" s="416"/>
    </row>
    <row r="44" spans="1:255" x14ac:dyDescent="0.2">
      <c r="A44" s="407"/>
      <c r="B44" s="409"/>
      <c r="C44" s="409"/>
      <c r="D44" s="409"/>
      <c r="E44" s="409"/>
      <c r="F44" s="409"/>
      <c r="G44" s="409"/>
      <c r="H44" s="409"/>
      <c r="I44" s="409"/>
      <c r="J44" s="409"/>
      <c r="K44" s="416"/>
    </row>
    <row r="45" spans="1:255" ht="13.5" thickBot="1" x14ac:dyDescent="0.25">
      <c r="A45" s="407"/>
      <c r="B45" s="409"/>
      <c r="C45" s="409"/>
      <c r="D45" s="409"/>
      <c r="E45" s="409"/>
      <c r="F45" s="409"/>
      <c r="G45" s="409"/>
      <c r="H45" s="409"/>
      <c r="I45" s="409"/>
      <c r="J45" s="409"/>
      <c r="K45" s="416"/>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417" t="s">
        <v>16</v>
      </c>
      <c r="D48" s="417"/>
      <c r="E48" s="417"/>
      <c r="F48" s="417"/>
      <c r="G48" s="417"/>
      <c r="H48" s="417"/>
      <c r="I48" s="417"/>
      <c r="J48" s="417"/>
      <c r="K48" s="417"/>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412">
        <f>R56</f>
        <v>11777</v>
      </c>
      <c r="I56" s="413"/>
      <c r="J56" s="412">
        <f>S56</f>
        <v>92547</v>
      </c>
      <c r="K56" s="414"/>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418"/>
      <c r="I57" s="419"/>
      <c r="J57" s="418"/>
      <c r="K57" s="420"/>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412">
        <f>R61</f>
        <v>16406</v>
      </c>
      <c r="I61" s="413"/>
      <c r="J61" s="412">
        <f>S61</f>
        <v>116807</v>
      </c>
      <c r="K61" s="414"/>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418"/>
      <c r="I62" s="419"/>
      <c r="J62" s="418"/>
      <c r="K62" s="420"/>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412">
        <f>R70</f>
        <v>1635</v>
      </c>
      <c r="I70" s="413"/>
      <c r="J70" s="412">
        <f>S70</f>
        <v>17065</v>
      </c>
      <c r="K70" s="414"/>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418"/>
      <c r="I71" s="419"/>
      <c r="J71" s="418"/>
      <c r="K71" s="420"/>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412">
        <f>R78</f>
        <v>4719</v>
      </c>
      <c r="I78" s="413"/>
      <c r="J78" s="412">
        <f>S78</f>
        <v>113690</v>
      </c>
      <c r="K78" s="414"/>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418"/>
      <c r="I79" s="419"/>
      <c r="J79" s="418"/>
      <c r="K79" s="420"/>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3" hidden="1" x14ac:dyDescent="0.2">
      <c r="C97" s="141" t="s">
        <v>294</v>
      </c>
      <c r="D97" s="137"/>
      <c r="E97" s="137"/>
      <c r="F97" s="137"/>
      <c r="G97" s="137"/>
      <c r="H97" s="137"/>
      <c r="I97" s="139">
        <f>EJ80</f>
        <v>0</v>
      </c>
      <c r="J97" s="137"/>
      <c r="K97" s="139">
        <f>CM80</f>
        <v>0</v>
      </c>
    </row>
    <row r="98" spans="3:13" hidden="1" x14ac:dyDescent="0.2">
      <c r="C98" s="141" t="s">
        <v>295</v>
      </c>
      <c r="D98" s="137"/>
      <c r="E98" s="137"/>
      <c r="F98" s="137"/>
      <c r="G98" s="137"/>
      <c r="H98" s="137"/>
      <c r="I98" s="139">
        <f>EK80</f>
        <v>0</v>
      </c>
      <c r="J98" s="137"/>
      <c r="K98" s="139">
        <f>CN80</f>
        <v>0</v>
      </c>
    </row>
    <row r="99" spans="3:13" x14ac:dyDescent="0.2">
      <c r="C99" s="141" t="s">
        <v>296</v>
      </c>
      <c r="D99" s="137"/>
      <c r="E99" s="137"/>
      <c r="F99" s="137"/>
      <c r="G99" s="137"/>
      <c r="H99" s="137"/>
      <c r="I99" s="139">
        <f>EL80</f>
        <v>2189</v>
      </c>
      <c r="J99" s="137"/>
      <c r="K99" s="139">
        <f>CO80</f>
        <v>55455</v>
      </c>
    </row>
    <row r="100" spans="3:13" hidden="1" x14ac:dyDescent="0.2">
      <c r="C100" s="141" t="s">
        <v>297</v>
      </c>
      <c r="D100" s="137"/>
      <c r="E100" s="137"/>
      <c r="F100" s="137"/>
      <c r="G100" s="137"/>
      <c r="H100" s="137"/>
      <c r="I100" s="139">
        <f>EM80</f>
        <v>0</v>
      </c>
      <c r="J100" s="137"/>
      <c r="K100" s="139">
        <f>CP80</f>
        <v>0</v>
      </c>
    </row>
    <row r="101" spans="3:13" hidden="1" x14ac:dyDescent="0.2">
      <c r="C101" s="141" t="s">
        <v>298</v>
      </c>
      <c r="D101" s="137"/>
      <c r="E101" s="137"/>
      <c r="F101" s="137"/>
      <c r="G101" s="137"/>
      <c r="H101" s="137"/>
      <c r="I101" s="139">
        <f>EN80</f>
        <v>0</v>
      </c>
      <c r="J101" s="137"/>
      <c r="K101" s="139">
        <f>CQ80</f>
        <v>0</v>
      </c>
    </row>
    <row r="102" spans="3:13" hidden="1" x14ac:dyDescent="0.2">
      <c r="C102" s="141" t="s">
        <v>299</v>
      </c>
      <c r="D102" s="137"/>
      <c r="E102" s="137"/>
      <c r="F102" s="137"/>
      <c r="G102" s="137"/>
      <c r="H102" s="137"/>
      <c r="I102" s="139">
        <f>EO80</f>
        <v>0</v>
      </c>
      <c r="J102" s="137"/>
      <c r="K102" s="139">
        <f>CR80</f>
        <v>0</v>
      </c>
    </row>
    <row r="103" spans="3:13" hidden="1" x14ac:dyDescent="0.2">
      <c r="C103" s="141" t="s">
        <v>300</v>
      </c>
      <c r="D103" s="137"/>
      <c r="E103" s="137"/>
      <c r="F103" s="137"/>
      <c r="G103" s="137"/>
      <c r="H103" s="137"/>
      <c r="I103" s="139">
        <f>EP80</f>
        <v>0</v>
      </c>
      <c r="J103" s="137"/>
      <c r="K103" s="139">
        <f>CS80</f>
        <v>0</v>
      </c>
    </row>
    <row r="104" spans="3:13" hidden="1" x14ac:dyDescent="0.2">
      <c r="C104" s="141" t="s">
        <v>301</v>
      </c>
      <c r="D104" s="137"/>
      <c r="E104" s="137"/>
      <c r="F104" s="137"/>
      <c r="G104" s="137"/>
      <c r="H104" s="137"/>
      <c r="I104" s="139">
        <f>EQ80</f>
        <v>0</v>
      </c>
      <c r="J104" s="137"/>
      <c r="K104" s="139">
        <f>CT80</f>
        <v>0</v>
      </c>
    </row>
    <row r="105" spans="3:13" hidden="1" x14ac:dyDescent="0.2">
      <c r="C105" s="141" t="s">
        <v>302</v>
      </c>
      <c r="D105" s="137"/>
      <c r="E105" s="137"/>
      <c r="F105" s="137"/>
      <c r="G105" s="137"/>
      <c r="H105" s="137"/>
      <c r="I105" s="139">
        <f>ER80</f>
        <v>0</v>
      </c>
      <c r="J105" s="137"/>
      <c r="K105" s="139">
        <f>CU80</f>
        <v>0</v>
      </c>
    </row>
    <row r="107" spans="3:13" x14ac:dyDescent="0.2">
      <c r="C107" s="143" t="s">
        <v>303</v>
      </c>
      <c r="D107" s="142"/>
      <c r="E107" s="142"/>
      <c r="F107" s="142"/>
      <c r="G107" s="142"/>
      <c r="H107" s="142"/>
      <c r="I107" s="144">
        <f>EX80</f>
        <v>27701</v>
      </c>
      <c r="J107" s="142"/>
      <c r="K107" s="144">
        <f>DA80*0.9</f>
        <v>170286.30000000002</v>
      </c>
      <c r="L107">
        <v>0.9</v>
      </c>
      <c r="M107">
        <v>189207</v>
      </c>
    </row>
    <row r="108" spans="3:13" x14ac:dyDescent="0.2">
      <c r="C108" s="140" t="s">
        <v>283</v>
      </c>
      <c r="D108" s="133"/>
      <c r="E108" s="133"/>
      <c r="F108" s="133"/>
      <c r="G108" s="133"/>
      <c r="H108" s="133"/>
      <c r="I108" s="133"/>
      <c r="J108" s="133"/>
      <c r="K108" s="133"/>
    </row>
    <row r="109" spans="3:13" x14ac:dyDescent="0.2">
      <c r="C109" s="145" t="s">
        <v>304</v>
      </c>
      <c r="D109" s="142"/>
      <c r="E109" s="142"/>
      <c r="F109" s="142"/>
      <c r="G109" s="142"/>
      <c r="H109" s="142"/>
      <c r="I109" s="144">
        <f>EY80</f>
        <v>1304</v>
      </c>
      <c r="J109" s="142"/>
      <c r="K109" s="144">
        <f>DB80</f>
        <v>23899</v>
      </c>
    </row>
    <row r="110" spans="3:13" hidden="1" x14ac:dyDescent="0.2">
      <c r="C110" s="146" t="s">
        <v>305</v>
      </c>
      <c r="D110" s="13"/>
      <c r="E110" s="13"/>
      <c r="F110" s="13"/>
      <c r="G110" s="13"/>
      <c r="H110" s="13"/>
      <c r="I110" s="135">
        <f>EZ80</f>
        <v>0</v>
      </c>
      <c r="J110" s="13"/>
      <c r="K110" s="135">
        <f>DC80</f>
        <v>0</v>
      </c>
    </row>
    <row r="111" spans="3:13" hidden="1" x14ac:dyDescent="0.2">
      <c r="C111" s="140" t="s">
        <v>283</v>
      </c>
      <c r="D111" s="133"/>
      <c r="E111" s="133"/>
      <c r="F111" s="133"/>
      <c r="G111" s="133"/>
      <c r="H111" s="133"/>
      <c r="I111" s="133"/>
      <c r="J111" s="133"/>
      <c r="K111" s="133"/>
    </row>
    <row r="112" spans="3:13" hidden="1" x14ac:dyDescent="0.2">
      <c r="C112" s="147" t="s">
        <v>306</v>
      </c>
      <c r="D112" s="13"/>
      <c r="E112" s="13"/>
      <c r="F112" s="13"/>
      <c r="G112" s="13"/>
      <c r="H112" s="13"/>
      <c r="I112" s="135">
        <f>FA80</f>
        <v>0</v>
      </c>
      <c r="J112" s="13"/>
      <c r="K112" s="135">
        <f>DD80</f>
        <v>0</v>
      </c>
    </row>
    <row r="113" spans="1:13" hidden="1" x14ac:dyDescent="0.2">
      <c r="C113" s="147" t="s">
        <v>307</v>
      </c>
      <c r="D113" s="13"/>
      <c r="E113" s="13"/>
      <c r="F113" s="13"/>
      <c r="G113" s="13"/>
      <c r="H113" s="13"/>
      <c r="I113" s="135">
        <f>FB80</f>
        <v>0</v>
      </c>
      <c r="J113" s="13"/>
      <c r="K113" s="135">
        <f>DE80</f>
        <v>0</v>
      </c>
    </row>
    <row r="114" spans="1:13" hidden="1" x14ac:dyDescent="0.2">
      <c r="C114" s="149" t="s">
        <v>308</v>
      </c>
      <c r="D114" s="148"/>
      <c r="E114" s="148"/>
      <c r="F114" s="148"/>
      <c r="G114" s="148"/>
      <c r="H114" s="148"/>
      <c r="I114" s="150">
        <f>FC80</f>
        <v>0</v>
      </c>
      <c r="J114" s="148"/>
      <c r="K114" s="150">
        <f>DF80</f>
        <v>0</v>
      </c>
    </row>
    <row r="115" spans="1:13" hidden="1" x14ac:dyDescent="0.2">
      <c r="C115" s="151" t="s">
        <v>309</v>
      </c>
      <c r="D115" s="148"/>
      <c r="E115" s="148"/>
      <c r="F115" s="148"/>
      <c r="G115" s="148"/>
      <c r="H115" s="148"/>
      <c r="I115" s="150">
        <f>FD80</f>
        <v>0</v>
      </c>
      <c r="J115" s="148"/>
      <c r="K115" s="150">
        <f>DG80</f>
        <v>0</v>
      </c>
    </row>
    <row r="116" spans="1:13" hidden="1" x14ac:dyDescent="0.2">
      <c r="C116" s="151" t="s">
        <v>310</v>
      </c>
      <c r="D116" s="148"/>
      <c r="E116" s="148"/>
      <c r="F116" s="148"/>
      <c r="G116" s="148"/>
      <c r="H116" s="148"/>
      <c r="I116" s="150">
        <f>FE80</f>
        <v>0</v>
      </c>
      <c r="J116" s="148"/>
      <c r="K116" s="150">
        <f>DH80</f>
        <v>0</v>
      </c>
    </row>
    <row r="117" spans="1:13" hidden="1" x14ac:dyDescent="0.2">
      <c r="C117" s="153" t="s">
        <v>311</v>
      </c>
      <c r="D117" s="152"/>
      <c r="E117" s="152"/>
      <c r="F117" s="152"/>
      <c r="G117" s="152"/>
      <c r="H117" s="152"/>
      <c r="I117" s="154">
        <f>FF80</f>
        <v>0</v>
      </c>
      <c r="J117" s="152"/>
      <c r="K117" s="154">
        <f>DI80</f>
        <v>0</v>
      </c>
    </row>
    <row r="118" spans="1:13" hidden="1" x14ac:dyDescent="0.2">
      <c r="C118" s="155" t="s">
        <v>312</v>
      </c>
      <c r="D118" s="152"/>
      <c r="E118" s="152"/>
      <c r="F118" s="152"/>
      <c r="G118" s="152"/>
      <c r="H118" s="152"/>
      <c r="I118" s="154">
        <f>FG80</f>
        <v>0</v>
      </c>
      <c r="J118" s="152"/>
      <c r="K118" s="154">
        <f>DJ80</f>
        <v>0</v>
      </c>
    </row>
    <row r="119" spans="1:13" hidden="1" x14ac:dyDescent="0.2">
      <c r="C119" s="155" t="s">
        <v>313</v>
      </c>
      <c r="D119" s="152"/>
      <c r="E119" s="152"/>
      <c r="F119" s="152"/>
      <c r="G119" s="152"/>
      <c r="H119" s="152"/>
      <c r="I119" s="154">
        <f>FH80</f>
        <v>0</v>
      </c>
      <c r="J119" s="152"/>
      <c r="K119" s="154">
        <f>DK80</f>
        <v>0</v>
      </c>
    </row>
    <row r="120" spans="1:13" hidden="1" x14ac:dyDescent="0.2">
      <c r="C120" s="146" t="s">
        <v>85</v>
      </c>
      <c r="D120" s="13"/>
      <c r="E120" s="13"/>
      <c r="F120" s="13"/>
      <c r="G120" s="13"/>
      <c r="H120" s="13"/>
      <c r="I120" s="135">
        <f>FI80</f>
        <v>0</v>
      </c>
      <c r="J120" s="13"/>
      <c r="K120" s="135">
        <f>DL80</f>
        <v>0</v>
      </c>
    </row>
    <row r="121" spans="1:13" hidden="1" x14ac:dyDescent="0.2">
      <c r="C121" s="146" t="s">
        <v>91</v>
      </c>
      <c r="D121" s="13"/>
      <c r="E121" s="13"/>
      <c r="F121" s="13"/>
      <c r="G121" s="13"/>
      <c r="H121" s="13"/>
      <c r="I121" s="135">
        <f>FJ80</f>
        <v>0</v>
      </c>
      <c r="J121" s="13"/>
      <c r="K121" s="135">
        <f>DM80</f>
        <v>0</v>
      </c>
    </row>
    <row r="122" spans="1:13" x14ac:dyDescent="0.2">
      <c r="C122" s="138" t="s">
        <v>314</v>
      </c>
      <c r="D122" s="137"/>
      <c r="E122" s="137"/>
      <c r="F122" s="137"/>
      <c r="G122" s="137"/>
      <c r="H122" s="137"/>
      <c r="I122" s="139">
        <f>EW80+EY80</f>
        <v>3493</v>
      </c>
      <c r="J122" s="137"/>
      <c r="K122" s="139">
        <f>CZ80+DB80</f>
        <v>79354</v>
      </c>
    </row>
    <row r="124" spans="1:13" x14ac:dyDescent="0.2">
      <c r="A124" s="156"/>
      <c r="B124" s="156"/>
      <c r="C124" s="156" t="s">
        <v>93</v>
      </c>
      <c r="D124" s="156"/>
      <c r="E124" s="156"/>
      <c r="F124" s="156"/>
      <c r="G124" s="156"/>
      <c r="H124" s="156"/>
      <c r="I124" s="157">
        <f>FW80</f>
        <v>16406</v>
      </c>
      <c r="J124" s="156"/>
      <c r="K124" s="157">
        <f>DZ80</f>
        <v>116807</v>
      </c>
    </row>
    <row r="125" spans="1:13" x14ac:dyDescent="0.2">
      <c r="A125" s="156"/>
      <c r="B125" s="156"/>
      <c r="C125" s="156" t="s">
        <v>315</v>
      </c>
      <c r="D125" s="156"/>
      <c r="E125" s="156"/>
      <c r="F125" s="156"/>
      <c r="G125" s="156"/>
      <c r="H125" s="156"/>
      <c r="I125" s="157">
        <f>FK80</f>
        <v>3004</v>
      </c>
      <c r="J125" s="156"/>
      <c r="K125" s="157">
        <f>DN80*0.75</f>
        <v>47985.75</v>
      </c>
      <c r="L125">
        <v>0.75</v>
      </c>
      <c r="M125">
        <v>63981</v>
      </c>
    </row>
    <row r="126" spans="1:13" x14ac:dyDescent="0.2">
      <c r="A126" s="156"/>
      <c r="B126" s="156"/>
      <c r="C126" s="156" t="s">
        <v>316</v>
      </c>
      <c r="D126" s="156"/>
      <c r="E126" s="156"/>
      <c r="F126" s="156"/>
      <c r="G126" s="156"/>
      <c r="H126" s="156"/>
      <c r="I126" s="157">
        <f>FL80</f>
        <v>1643</v>
      </c>
      <c r="J126" s="156"/>
      <c r="K126" s="157">
        <f>DO80*0.75</f>
        <v>23599.5</v>
      </c>
      <c r="L126">
        <v>0.75</v>
      </c>
      <c r="M126">
        <v>31446</v>
      </c>
    </row>
    <row r="128" spans="1:13" x14ac:dyDescent="0.2">
      <c r="C128" s="25" t="s">
        <v>317</v>
      </c>
      <c r="D128" s="25"/>
      <c r="E128" s="25"/>
      <c r="F128" s="25"/>
      <c r="G128" s="25"/>
      <c r="H128" s="25"/>
      <c r="I128" s="158">
        <f>FM80</f>
        <v>34537</v>
      </c>
      <c r="J128" s="25"/>
      <c r="K128" s="158">
        <f>K88+K107+K125+K126</f>
        <v>297326.55000000005</v>
      </c>
      <c r="M128">
        <v>340109</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ROUND(K135,0)</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77"/>
      <c r="D145" s="377"/>
      <c r="E145" s="377"/>
      <c r="F145" s="377"/>
      <c r="G145" s="163"/>
      <c r="H145" s="163"/>
      <c r="I145" s="377"/>
      <c r="J145" s="377"/>
      <c r="BY145" s="164">
        <f>C145</f>
        <v>0</v>
      </c>
      <c r="BZ145" s="164">
        <f>I145</f>
        <v>0</v>
      </c>
      <c r="IU145" s="23"/>
    </row>
    <row r="146" spans="1:255" s="166" customFormat="1" ht="11.25" hidden="1" outlineLevel="1" x14ac:dyDescent="0.2">
      <c r="A146" s="165"/>
      <c r="B146" s="165"/>
      <c r="C146" s="421" t="s">
        <v>330</v>
      </c>
      <c r="D146" s="421"/>
      <c r="E146" s="421"/>
      <c r="F146" s="421"/>
      <c r="G146" s="421"/>
      <c r="H146" s="421"/>
      <c r="I146" s="421" t="s">
        <v>331</v>
      </c>
      <c r="J146" s="421"/>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77"/>
      <c r="D148" s="377"/>
      <c r="E148" s="377"/>
      <c r="F148" s="377"/>
      <c r="G148" s="163"/>
      <c r="H148" s="163"/>
      <c r="I148" s="377"/>
      <c r="J148" s="377"/>
      <c r="BY148" s="164">
        <f>C148</f>
        <v>0</v>
      </c>
      <c r="BZ148" s="164">
        <f>I148</f>
        <v>0</v>
      </c>
      <c r="IU148" s="23"/>
    </row>
    <row r="149" spans="1:255" s="166" customFormat="1" ht="11.25" hidden="1" outlineLevel="1" x14ac:dyDescent="0.2">
      <c r="A149" s="165"/>
      <c r="B149" s="165"/>
      <c r="C149" s="421" t="s">
        <v>330</v>
      </c>
      <c r="D149" s="421"/>
      <c r="E149" s="421"/>
      <c r="F149" s="421"/>
      <c r="G149" s="421"/>
      <c r="H149" s="421"/>
      <c r="I149" s="421" t="s">
        <v>331</v>
      </c>
      <c r="J149" s="421"/>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77" t="s">
        <v>403</v>
      </c>
      <c r="D154" s="377"/>
      <c r="E154" s="377"/>
      <c r="F154" s="377"/>
      <c r="G154" s="163"/>
      <c r="H154" s="163"/>
      <c r="I154" s="377" t="s">
        <v>7</v>
      </c>
      <c r="J154" s="377"/>
      <c r="K154" s="31">
        <v>45063</v>
      </c>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421" t="s">
        <v>330</v>
      </c>
      <c r="D155" s="421"/>
      <c r="E155" s="421"/>
      <c r="F155" s="421"/>
      <c r="G155" s="421"/>
      <c r="H155" s="421"/>
      <c r="I155" s="421" t="s">
        <v>331</v>
      </c>
      <c r="J155" s="421"/>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77" t="s">
        <v>336</v>
      </c>
      <c r="D157" s="377"/>
      <c r="E157" s="377"/>
      <c r="F157" s="377"/>
      <c r="G157" s="163"/>
      <c r="H157" s="163"/>
      <c r="I157" s="377" t="s">
        <v>337</v>
      </c>
      <c r="J157" s="377"/>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421" t="s">
        <v>330</v>
      </c>
      <c r="D158" s="421"/>
      <c r="E158" s="421"/>
      <c r="F158" s="421"/>
      <c r="G158" s="421"/>
      <c r="H158" s="421"/>
      <c r="I158" s="421" t="s">
        <v>331</v>
      </c>
      <c r="J158" s="421"/>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77" t="s">
        <v>338</v>
      </c>
      <c r="D160" s="377"/>
      <c r="E160" s="377"/>
      <c r="F160" s="377"/>
      <c r="G160" s="163"/>
      <c r="H160" s="163"/>
      <c r="I160" s="377" t="s">
        <v>339</v>
      </c>
      <c r="J160" s="377"/>
      <c r="BY160" s="164" t="str">
        <f>C160</f>
        <v>Руководитель ПТС ООО "ОСУ-2"</v>
      </c>
      <c r="BZ160" s="164" t="str">
        <f>I160</f>
        <v>Когтев В.И.</v>
      </c>
      <c r="IU160" s="23"/>
    </row>
    <row r="161" spans="1:10" s="166" customFormat="1" ht="11.25" hidden="1" outlineLevel="1" x14ac:dyDescent="0.2">
      <c r="A161" s="165"/>
      <c r="B161" s="165"/>
      <c r="C161" s="421" t="s">
        <v>330</v>
      </c>
      <c r="D161" s="421"/>
      <c r="E161" s="421"/>
      <c r="F161" s="421"/>
      <c r="G161" s="421"/>
      <c r="H161" s="421"/>
      <c r="I161" s="421" t="s">
        <v>331</v>
      </c>
      <c r="J161" s="421"/>
    </row>
    <row r="162" spans="1:10" hidden="1" outlineLevel="1" x14ac:dyDescent="0.2">
      <c r="A162" s="18"/>
      <c r="B162" s="18"/>
      <c r="C162" s="18"/>
      <c r="D162" s="18"/>
      <c r="E162" s="18"/>
      <c r="F162" s="18"/>
      <c r="G162" s="11" t="s">
        <v>332</v>
      </c>
      <c r="H162" s="18"/>
      <c r="I162" s="18"/>
      <c r="J162" s="18"/>
    </row>
    <row r="163" spans="1:10" collapsed="1" x14ac:dyDescent="0.2"/>
    <row r="164" spans="1:10" x14ac:dyDescent="0.2">
      <c r="A164" s="31"/>
      <c r="B164" s="31"/>
    </row>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94"/>
  <sheetViews>
    <sheetView tabSelected="1" topLeftCell="A262" zoomScale="90" zoomScaleNormal="90" zoomScaleSheetLayoutView="100" workbookViewId="0">
      <selection activeCell="B271" sqref="B271:F271"/>
    </sheetView>
  </sheetViews>
  <sheetFormatPr defaultRowHeight="16.5" x14ac:dyDescent="0.3"/>
  <cols>
    <col min="1" max="1" width="5" style="200" customWidth="1"/>
    <col min="2" max="2" width="9.42578125" style="200" customWidth="1"/>
    <col min="3" max="3" width="52.42578125" style="206" customWidth="1"/>
    <col min="4" max="4" width="11.5703125" style="206" bestFit="1" customWidth="1"/>
    <col min="5" max="5" width="11.42578125" style="206" customWidth="1"/>
    <col min="6" max="6" width="11.28515625" style="234" customWidth="1"/>
    <col min="7" max="7" width="16.85546875" style="234" customWidth="1"/>
    <col min="8" max="8" width="14.85546875" style="303" customWidth="1"/>
    <col min="9" max="16384" width="9.140625" style="200"/>
  </cols>
  <sheetData>
    <row r="1" spans="1:8" x14ac:dyDescent="0.3">
      <c r="A1" s="198"/>
      <c r="B1" s="198"/>
      <c r="C1" s="199"/>
      <c r="D1" s="199"/>
      <c r="E1" s="448" t="s">
        <v>404</v>
      </c>
      <c r="F1" s="448"/>
      <c r="G1" s="448"/>
    </row>
    <row r="2" spans="1:8" ht="16.5" customHeight="1" x14ac:dyDescent="0.3">
      <c r="A2" s="198"/>
      <c r="B2" s="198"/>
      <c r="C2" s="199"/>
      <c r="D2" s="199"/>
      <c r="E2" s="449" t="s">
        <v>405</v>
      </c>
      <c r="F2" s="449"/>
      <c r="G2" s="449"/>
    </row>
    <row r="3" spans="1:8" ht="16.5" customHeight="1" x14ac:dyDescent="0.3">
      <c r="A3" s="198"/>
      <c r="B3" s="198"/>
      <c r="C3" s="199"/>
      <c r="D3" s="199"/>
      <c r="E3" s="201"/>
      <c r="F3" s="202"/>
      <c r="G3" s="203" t="s">
        <v>476</v>
      </c>
    </row>
    <row r="4" spans="1:8" x14ac:dyDescent="0.3">
      <c r="A4" s="198"/>
      <c r="B4" s="198"/>
      <c r="C4" s="199"/>
      <c r="D4" s="199"/>
      <c r="E4" s="204"/>
      <c r="F4" s="205"/>
      <c r="G4" s="203"/>
    </row>
    <row r="5" spans="1:8" x14ac:dyDescent="0.3">
      <c r="E5" s="207"/>
      <c r="F5" s="208"/>
      <c r="G5" s="209"/>
    </row>
    <row r="6" spans="1:8" ht="18.75" x14ac:dyDescent="0.3">
      <c r="A6" s="450" t="s">
        <v>406</v>
      </c>
      <c r="B6" s="450"/>
      <c r="C6" s="450"/>
      <c r="D6" s="450"/>
      <c r="E6" s="450"/>
      <c r="F6" s="450"/>
      <c r="G6" s="450"/>
    </row>
    <row r="7" spans="1:8" ht="18.75" x14ac:dyDescent="0.3">
      <c r="A7" s="210"/>
      <c r="B7" s="210"/>
      <c r="C7" s="211"/>
      <c r="D7" s="211"/>
      <c r="E7" s="211"/>
      <c r="F7" s="451"/>
      <c r="G7" s="451"/>
    </row>
    <row r="8" spans="1:8" ht="41.25" customHeight="1" x14ac:dyDescent="0.3">
      <c r="A8" s="212" t="s">
        <v>224</v>
      </c>
      <c r="B8" s="213"/>
      <c r="C8" s="452" t="s">
        <v>666</v>
      </c>
      <c r="D8" s="452"/>
      <c r="E8" s="452"/>
      <c r="F8" s="452"/>
      <c r="G8" s="452"/>
    </row>
    <row r="9" spans="1:8" ht="35.25" customHeight="1" x14ac:dyDescent="0.3">
      <c r="A9" s="453" t="s">
        <v>424</v>
      </c>
      <c r="B9" s="453"/>
      <c r="C9" s="334" t="s">
        <v>667</v>
      </c>
      <c r="D9" s="334"/>
      <c r="E9" s="242"/>
      <c r="F9" s="242"/>
      <c r="G9" s="242"/>
    </row>
    <row r="10" spans="1:8" x14ac:dyDescent="0.3">
      <c r="A10" s="214" t="s">
        <v>407</v>
      </c>
      <c r="B10" s="215"/>
      <c r="C10" s="216"/>
      <c r="D10" s="216"/>
      <c r="E10" s="216"/>
      <c r="F10" s="217"/>
      <c r="G10" s="218"/>
    </row>
    <row r="11" spans="1:8" s="221" customFormat="1" x14ac:dyDescent="0.3">
      <c r="A11" s="219"/>
      <c r="B11" s="220"/>
      <c r="C11" s="454" t="s">
        <v>408</v>
      </c>
      <c r="D11" s="454"/>
      <c r="E11" s="454"/>
      <c r="F11" s="454"/>
      <c r="G11" s="454"/>
      <c r="H11" s="304"/>
    </row>
    <row r="12" spans="1:8" s="221" customFormat="1" x14ac:dyDescent="0.3">
      <c r="A12" s="219"/>
      <c r="B12" s="220"/>
      <c r="C12" s="222" t="s">
        <v>409</v>
      </c>
      <c r="D12" s="222"/>
      <c r="E12" s="222"/>
      <c r="F12" s="223"/>
      <c r="G12" s="223"/>
      <c r="H12" s="304"/>
    </row>
    <row r="13" spans="1:8" x14ac:dyDescent="0.3">
      <c r="A13" s="224"/>
      <c r="B13" s="224"/>
      <c r="C13" s="225"/>
      <c r="D13" s="225"/>
      <c r="E13" s="225"/>
      <c r="F13" s="218"/>
      <c r="G13" s="218"/>
    </row>
    <row r="14" spans="1:8" s="227" customFormat="1" ht="12.75" x14ac:dyDescent="0.2">
      <c r="A14" s="459" t="s">
        <v>410</v>
      </c>
      <c r="B14" s="460" t="s">
        <v>256</v>
      </c>
      <c r="C14" s="459" t="s">
        <v>257</v>
      </c>
      <c r="D14" s="459" t="s">
        <v>411</v>
      </c>
      <c r="E14" s="459" t="s">
        <v>412</v>
      </c>
      <c r="F14" s="455" t="s">
        <v>413</v>
      </c>
      <c r="G14" s="455" t="s">
        <v>414</v>
      </c>
      <c r="H14" s="305"/>
    </row>
    <row r="15" spans="1:8" s="228" customFormat="1" ht="11.25" x14ac:dyDescent="0.2">
      <c r="A15" s="459"/>
      <c r="B15" s="461"/>
      <c r="C15" s="459"/>
      <c r="D15" s="459"/>
      <c r="E15" s="459"/>
      <c r="F15" s="456"/>
      <c r="G15" s="456"/>
      <c r="H15" s="306"/>
    </row>
    <row r="16" spans="1:8" s="206" customFormat="1" x14ac:dyDescent="0.3">
      <c r="A16" s="229">
        <v>1</v>
      </c>
      <c r="B16" s="229">
        <v>2</v>
      </c>
      <c r="C16" s="229">
        <v>3</v>
      </c>
      <c r="D16" s="229">
        <v>4</v>
      </c>
      <c r="E16" s="229">
        <v>5</v>
      </c>
      <c r="F16" s="230">
        <v>6</v>
      </c>
      <c r="G16" s="230">
        <v>7</v>
      </c>
      <c r="H16" s="307"/>
    </row>
    <row r="17" spans="1:255" s="226" customFormat="1" ht="20.25" customHeight="1" thickBot="1" x14ac:dyDescent="0.35">
      <c r="A17" s="457" t="s">
        <v>568</v>
      </c>
      <c r="B17" s="457"/>
      <c r="C17" s="457"/>
      <c r="D17" s="457"/>
      <c r="E17" s="457"/>
      <c r="F17" s="457"/>
      <c r="G17" s="458"/>
      <c r="H17" s="308"/>
      <c r="I17" s="231"/>
      <c r="J17" s="231"/>
      <c r="K17" s="231"/>
    </row>
    <row r="18" spans="1:255" s="232" customFormat="1" ht="46.5" x14ac:dyDescent="0.3">
      <c r="A18" s="101">
        <v>55</v>
      </c>
      <c r="B18" s="109" t="s">
        <v>569</v>
      </c>
      <c r="C18" s="102" t="s">
        <v>570</v>
      </c>
      <c r="D18" s="103" t="s">
        <v>571</v>
      </c>
      <c r="E18" s="335">
        <f>(9.9029/3*2)*70%</f>
        <v>4.6213533333333334</v>
      </c>
      <c r="F18" s="56"/>
      <c r="G18" s="110"/>
      <c r="H18" s="309"/>
    </row>
    <row r="19" spans="1:255" s="233" customFormat="1" x14ac:dyDescent="0.2">
      <c r="A19" s="101"/>
      <c r="B19" s="109"/>
      <c r="C19" s="243" t="s">
        <v>572</v>
      </c>
      <c r="D19" s="103"/>
      <c r="E19" s="104"/>
      <c r="F19" s="105"/>
      <c r="G19" s="302">
        <v>199417.8</v>
      </c>
      <c r="H19" s="310"/>
    </row>
    <row r="20" spans="1:255" s="233" customFormat="1" ht="18" customHeight="1" x14ac:dyDescent="0.2">
      <c r="A20" s="462" t="s">
        <v>573</v>
      </c>
      <c r="B20" s="462"/>
      <c r="C20" s="462"/>
      <c r="D20" s="462"/>
      <c r="E20" s="462"/>
      <c r="F20" s="462"/>
      <c r="G20" s="463"/>
      <c r="H20" s="310"/>
    </row>
    <row r="21" spans="1:255" customFormat="1" ht="12.75" customHeight="1" x14ac:dyDescent="0.2">
      <c r="A21" s="444" t="s">
        <v>574</v>
      </c>
      <c r="B21" s="444"/>
      <c r="C21" s="444"/>
      <c r="D21" s="444"/>
      <c r="E21" s="444"/>
      <c r="F21" s="444"/>
      <c r="G21" s="444"/>
      <c r="BX21" s="248">
        <f>C21</f>
        <v>0</v>
      </c>
      <c r="IU21" s="23"/>
    </row>
    <row r="22" spans="1:255" customFormat="1" ht="13.5" thickBot="1" x14ac:dyDescent="0.25">
      <c r="A22" s="441" t="s">
        <v>576</v>
      </c>
      <c r="B22" s="442"/>
      <c r="C22" s="442"/>
      <c r="D22" s="442"/>
      <c r="E22" s="442"/>
      <c r="F22" s="442"/>
      <c r="G22" s="442"/>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row>
    <row r="23" spans="1:255" customFormat="1" ht="45" x14ac:dyDescent="0.2">
      <c r="A23" s="52" t="s">
        <v>668</v>
      </c>
      <c r="B23" s="60" t="s">
        <v>575</v>
      </c>
      <c r="C23" s="53" t="s">
        <v>577</v>
      </c>
      <c r="D23" s="54" t="s">
        <v>571</v>
      </c>
      <c r="E23" s="336">
        <f>0.074/3*2</f>
        <v>4.9333333333333333E-2</v>
      </c>
      <c r="F23" s="246"/>
      <c r="G23" s="59"/>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5" customFormat="1" ht="13.5" thickBot="1" x14ac:dyDescent="0.25">
      <c r="A24" s="441" t="s">
        <v>578</v>
      </c>
      <c r="B24" s="442"/>
      <c r="C24" s="442"/>
      <c r="D24" s="442"/>
      <c r="E24" s="442"/>
      <c r="F24" s="442"/>
      <c r="G24" s="442"/>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customFormat="1" ht="45" x14ac:dyDescent="0.2">
      <c r="A25" s="52" t="s">
        <v>669</v>
      </c>
      <c r="B25" s="60" t="s">
        <v>575</v>
      </c>
      <c r="C25" s="53" t="s">
        <v>579</v>
      </c>
      <c r="D25" s="54" t="s">
        <v>571</v>
      </c>
      <c r="E25" s="55">
        <f>6.507/3*2</f>
        <v>4.3380000000000001</v>
      </c>
      <c r="F25" s="246"/>
      <c r="G25" s="59"/>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5" customFormat="1" ht="13.5" thickBot="1" x14ac:dyDescent="0.25">
      <c r="A26" s="441" t="s">
        <v>580</v>
      </c>
      <c r="B26" s="442"/>
      <c r="C26" s="442"/>
      <c r="D26" s="442"/>
      <c r="E26" s="442"/>
      <c r="F26" s="442"/>
      <c r="G26" s="442"/>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5" customFormat="1" ht="24" x14ac:dyDescent="0.2">
      <c r="A27" s="52" t="s">
        <v>670</v>
      </c>
      <c r="B27" s="60" t="s">
        <v>581</v>
      </c>
      <c r="C27" s="53" t="s">
        <v>674</v>
      </c>
      <c r="D27" s="54" t="s">
        <v>582</v>
      </c>
      <c r="E27" s="55">
        <v>0.45900000000000002</v>
      </c>
      <c r="F27" s="246"/>
      <c r="G27" s="59"/>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5" customFormat="1" ht="45" x14ac:dyDescent="0.2">
      <c r="A28" s="101" t="s">
        <v>671</v>
      </c>
      <c r="B28" s="109" t="s">
        <v>569</v>
      </c>
      <c r="C28" s="102" t="s">
        <v>570</v>
      </c>
      <c r="D28" s="103" t="s">
        <v>571</v>
      </c>
      <c r="E28" s="104">
        <f>2.55/3*2</f>
        <v>1.7</v>
      </c>
      <c r="F28" s="247"/>
      <c r="G28" s="108"/>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5" s="312" customFormat="1" ht="13.5" thickBot="1" x14ac:dyDescent="0.25">
      <c r="A29" s="441" t="s">
        <v>672</v>
      </c>
      <c r="B29" s="442"/>
      <c r="C29" s="442"/>
      <c r="D29" s="442"/>
      <c r="E29" s="442"/>
      <c r="F29" s="442"/>
      <c r="G29" s="442"/>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5" customFormat="1" ht="45" x14ac:dyDescent="0.2">
      <c r="A30" s="101" t="s">
        <v>673</v>
      </c>
      <c r="B30" s="60" t="s">
        <v>575</v>
      </c>
      <c r="C30" s="53" t="s">
        <v>579</v>
      </c>
      <c r="D30" s="54" t="s">
        <v>571</v>
      </c>
      <c r="E30" s="55">
        <f>0.3/3*2</f>
        <v>0.19999999999999998</v>
      </c>
      <c r="F30" s="247"/>
      <c r="G30" s="108"/>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5" s="233" customFormat="1" x14ac:dyDescent="0.2">
      <c r="A31" s="101"/>
      <c r="B31" s="109"/>
      <c r="C31" s="243" t="s">
        <v>572</v>
      </c>
      <c r="D31" s="103"/>
      <c r="E31" s="104"/>
      <c r="F31" s="105"/>
      <c r="G31" s="302">
        <v>118276.5</v>
      </c>
      <c r="H31" s="310"/>
    </row>
    <row r="32" spans="1:255" s="233" customFormat="1" ht="18" customHeight="1" x14ac:dyDescent="0.2">
      <c r="A32" s="462" t="s">
        <v>681</v>
      </c>
      <c r="B32" s="462"/>
      <c r="C32" s="462"/>
      <c r="D32" s="462"/>
      <c r="E32" s="462"/>
      <c r="F32" s="462"/>
      <c r="G32" s="463"/>
      <c r="H32" s="310"/>
    </row>
    <row r="33" spans="1:255" customFormat="1" ht="13.5" thickBot="1" x14ac:dyDescent="0.25">
      <c r="A33" s="441" t="s">
        <v>583</v>
      </c>
      <c r="B33" s="442"/>
      <c r="C33" s="442"/>
      <c r="D33" s="442"/>
      <c r="E33" s="442"/>
      <c r="F33" s="442"/>
      <c r="G33" s="442"/>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row>
    <row r="34" spans="1:255" customFormat="1" ht="48" x14ac:dyDescent="0.2">
      <c r="A34" s="52">
        <v>1</v>
      </c>
      <c r="B34" s="60" t="s">
        <v>584</v>
      </c>
      <c r="C34" s="53" t="s">
        <v>585</v>
      </c>
      <c r="D34" s="54" t="s">
        <v>586</v>
      </c>
      <c r="E34" s="55">
        <v>3.0545999999999998</v>
      </c>
      <c r="F34" s="246"/>
      <c r="G34" s="59"/>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row>
    <row r="35" spans="1:255" customFormat="1" ht="22.5" x14ac:dyDescent="0.2">
      <c r="A35" s="101">
        <v>2</v>
      </c>
      <c r="B35" s="109" t="s">
        <v>485</v>
      </c>
      <c r="C35" s="102" t="s">
        <v>587</v>
      </c>
      <c r="D35" s="103" t="s">
        <v>425</v>
      </c>
      <c r="E35" s="104">
        <v>7.5399999999999995E-2</v>
      </c>
      <c r="F35" s="247"/>
      <c r="G35" s="108"/>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row>
    <row r="36" spans="1:255" customFormat="1" ht="22.5" x14ac:dyDescent="0.2">
      <c r="A36" s="101">
        <v>3</v>
      </c>
      <c r="B36" s="109" t="s">
        <v>588</v>
      </c>
      <c r="C36" s="102" t="s">
        <v>589</v>
      </c>
      <c r="D36" s="103" t="s">
        <v>590</v>
      </c>
      <c r="E36" s="104">
        <v>0.32</v>
      </c>
      <c r="F36" s="247"/>
      <c r="G36" s="108"/>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customFormat="1" ht="13.5" thickBot="1" x14ac:dyDescent="0.25">
      <c r="A37" s="441" t="s">
        <v>591</v>
      </c>
      <c r="B37" s="442"/>
      <c r="C37" s="442"/>
      <c r="D37" s="442"/>
      <c r="E37" s="442"/>
      <c r="F37" s="442"/>
      <c r="G37" s="442"/>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row>
    <row r="38" spans="1:255" customFormat="1" ht="33.75" x14ac:dyDescent="0.2">
      <c r="A38" s="52">
        <v>4</v>
      </c>
      <c r="B38" s="60" t="s">
        <v>592</v>
      </c>
      <c r="C38" s="53" t="s">
        <v>682</v>
      </c>
      <c r="D38" s="54" t="s">
        <v>593</v>
      </c>
      <c r="E38" s="55">
        <v>0.2616</v>
      </c>
      <c r="F38" s="246"/>
      <c r="G38" s="59"/>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customFormat="1" ht="56.25" x14ac:dyDescent="0.2">
      <c r="A39" s="101">
        <v>5</v>
      </c>
      <c r="B39" s="109" t="s">
        <v>594</v>
      </c>
      <c r="C39" s="102" t="s">
        <v>595</v>
      </c>
      <c r="D39" s="103" t="s">
        <v>596</v>
      </c>
      <c r="E39" s="338">
        <v>0.49733333333333335</v>
      </c>
      <c r="F39" s="247"/>
      <c r="G39" s="108"/>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customFormat="1" ht="13.5" thickBot="1" x14ac:dyDescent="0.25">
      <c r="A40" s="441" t="s">
        <v>597</v>
      </c>
      <c r="B40" s="442"/>
      <c r="C40" s="442"/>
      <c r="D40" s="442"/>
      <c r="E40" s="442"/>
      <c r="F40" s="442"/>
      <c r="G40" s="442"/>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customFormat="1" ht="48" x14ac:dyDescent="0.2">
      <c r="A41" s="52">
        <v>6</v>
      </c>
      <c r="B41" s="60" t="s">
        <v>584</v>
      </c>
      <c r="C41" s="53" t="s">
        <v>683</v>
      </c>
      <c r="D41" s="54" t="s">
        <v>586</v>
      </c>
      <c r="E41" s="336">
        <v>4.0061999999999998</v>
      </c>
      <c r="F41" s="246"/>
      <c r="G41" s="59"/>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row>
    <row r="42" spans="1:255" customFormat="1" ht="22.5" x14ac:dyDescent="0.2">
      <c r="A42" s="101">
        <v>7</v>
      </c>
      <c r="B42" s="109" t="s">
        <v>485</v>
      </c>
      <c r="C42" s="102" t="s">
        <v>587</v>
      </c>
      <c r="D42" s="103" t="s">
        <v>425</v>
      </c>
      <c r="E42" s="104">
        <v>11.9</v>
      </c>
      <c r="F42" s="247"/>
      <c r="G42" s="108"/>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row>
    <row r="43" spans="1:255" customFormat="1" ht="22.5" x14ac:dyDescent="0.2">
      <c r="A43" s="101">
        <v>8</v>
      </c>
      <c r="B43" s="109" t="s">
        <v>588</v>
      </c>
      <c r="C43" s="102" t="s">
        <v>598</v>
      </c>
      <c r="D43" s="103" t="s">
        <v>590</v>
      </c>
      <c r="E43" s="104">
        <v>2.2200000000000001E-2</v>
      </c>
      <c r="F43" s="247"/>
      <c r="G43" s="108"/>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s="233" customFormat="1" x14ac:dyDescent="0.2">
      <c r="A44" s="101"/>
      <c r="B44" s="109"/>
      <c r="C44" s="243" t="s">
        <v>572</v>
      </c>
      <c r="D44" s="103"/>
      <c r="E44" s="104"/>
      <c r="F44" s="105"/>
      <c r="G44" s="302">
        <v>529651.80000000005</v>
      </c>
      <c r="H44" s="310"/>
    </row>
    <row r="45" spans="1:255" s="233" customFormat="1" ht="18" customHeight="1" x14ac:dyDescent="0.2">
      <c r="A45" s="462" t="s">
        <v>600</v>
      </c>
      <c r="B45" s="462"/>
      <c r="C45" s="462"/>
      <c r="D45" s="462"/>
      <c r="E45" s="462"/>
      <c r="F45" s="462"/>
      <c r="G45" s="463"/>
      <c r="H45" s="310"/>
    </row>
    <row r="46" spans="1:255" customFormat="1" ht="13.5" thickBot="1" x14ac:dyDescent="0.25">
      <c r="A46" s="441" t="s">
        <v>601</v>
      </c>
      <c r="B46" s="442"/>
      <c r="C46" s="442"/>
      <c r="D46" s="442"/>
      <c r="E46" s="442"/>
      <c r="F46" s="442"/>
      <c r="G46" s="442"/>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s="312" customFormat="1" ht="24" x14ac:dyDescent="0.2">
      <c r="A47" s="52">
        <v>1</v>
      </c>
      <c r="B47" s="60" t="s">
        <v>684</v>
      </c>
      <c r="C47" s="53" t="s">
        <v>685</v>
      </c>
      <c r="D47" s="54" t="s">
        <v>435</v>
      </c>
      <c r="E47" s="55">
        <v>64</v>
      </c>
      <c r="F47" s="246"/>
      <c r="G47" s="59"/>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row>
    <row r="48" spans="1:255" s="312" customFormat="1" ht="24" x14ac:dyDescent="0.2">
      <c r="A48" s="101">
        <v>2</v>
      </c>
      <c r="B48" s="109" t="s">
        <v>684</v>
      </c>
      <c r="C48" s="102" t="s">
        <v>686</v>
      </c>
      <c r="D48" s="103" t="s">
        <v>435</v>
      </c>
      <c r="E48" s="104">
        <v>96</v>
      </c>
      <c r="F48" s="247"/>
      <c r="G48" s="108"/>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s="312" customFormat="1" ht="24" x14ac:dyDescent="0.2">
      <c r="A49" s="101">
        <v>3</v>
      </c>
      <c r="B49" s="109" t="s">
        <v>687</v>
      </c>
      <c r="C49" s="102" t="s">
        <v>688</v>
      </c>
      <c r="D49" s="103" t="s">
        <v>435</v>
      </c>
      <c r="E49" s="104">
        <v>128</v>
      </c>
      <c r="F49" s="247"/>
      <c r="G49" s="108"/>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row>
    <row r="50" spans="1:255" s="312" customFormat="1" ht="24" x14ac:dyDescent="0.2">
      <c r="A50" s="101">
        <v>4</v>
      </c>
      <c r="B50" s="109" t="s">
        <v>687</v>
      </c>
      <c r="C50" s="102" t="s">
        <v>689</v>
      </c>
      <c r="D50" s="103" t="s">
        <v>435</v>
      </c>
      <c r="E50" s="104">
        <v>1</v>
      </c>
      <c r="F50" s="247"/>
      <c r="G50" s="108"/>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s="312" customFormat="1" ht="24" x14ac:dyDescent="0.2">
      <c r="A51" s="101">
        <v>5</v>
      </c>
      <c r="B51" s="109" t="s">
        <v>687</v>
      </c>
      <c r="C51" s="102" t="s">
        <v>688</v>
      </c>
      <c r="D51" s="103" t="s">
        <v>435</v>
      </c>
      <c r="E51" s="104">
        <v>96</v>
      </c>
      <c r="F51" s="247"/>
      <c r="G51" s="108"/>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s="312" customFormat="1" ht="22.5" x14ac:dyDescent="0.2">
      <c r="A52" s="101">
        <v>6</v>
      </c>
      <c r="B52" s="109" t="s">
        <v>690</v>
      </c>
      <c r="C52" s="102" t="s">
        <v>691</v>
      </c>
      <c r="D52" s="103" t="s">
        <v>435</v>
      </c>
      <c r="E52" s="104">
        <v>120</v>
      </c>
      <c r="F52" s="247"/>
      <c r="G52" s="108"/>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s="312" customFormat="1" ht="22.5" x14ac:dyDescent="0.2">
      <c r="A53" s="101">
        <v>7</v>
      </c>
      <c r="B53" s="109" t="s">
        <v>692</v>
      </c>
      <c r="C53" s="102" t="s">
        <v>693</v>
      </c>
      <c r="D53" s="103" t="s">
        <v>435</v>
      </c>
      <c r="E53" s="104">
        <v>136</v>
      </c>
      <c r="F53" s="247"/>
      <c r="G53" s="108"/>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s="312" customFormat="1" ht="22.5" x14ac:dyDescent="0.2">
      <c r="A54" s="101">
        <v>8</v>
      </c>
      <c r="B54" s="109" t="s">
        <v>690</v>
      </c>
      <c r="C54" s="102" t="s">
        <v>691</v>
      </c>
      <c r="D54" s="103" t="s">
        <v>435</v>
      </c>
      <c r="E54" s="104">
        <v>88</v>
      </c>
      <c r="F54" s="247"/>
      <c r="G54" s="108"/>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s="312" customFormat="1" ht="22.5" x14ac:dyDescent="0.2">
      <c r="A55" s="101">
        <v>9</v>
      </c>
      <c r="B55" s="109" t="s">
        <v>692</v>
      </c>
      <c r="C55" s="102" t="s">
        <v>693</v>
      </c>
      <c r="D55" s="103" t="s">
        <v>435</v>
      </c>
      <c r="E55" s="104">
        <v>102</v>
      </c>
      <c r="F55" s="247"/>
      <c r="G55" s="108"/>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s="312" customFormat="1" ht="24" x14ac:dyDescent="0.2">
      <c r="A56" s="101">
        <v>10</v>
      </c>
      <c r="B56" s="109" t="s">
        <v>694</v>
      </c>
      <c r="C56" s="102" t="s">
        <v>695</v>
      </c>
      <c r="D56" s="103" t="s">
        <v>696</v>
      </c>
      <c r="E56" s="104">
        <v>1.6</v>
      </c>
      <c r="F56" s="247"/>
      <c r="G56" s="108"/>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s="312" customFormat="1" ht="22.5" x14ac:dyDescent="0.2">
      <c r="A57" s="101">
        <v>11</v>
      </c>
      <c r="B57" s="109" t="s">
        <v>694</v>
      </c>
      <c r="C57" s="102" t="s">
        <v>697</v>
      </c>
      <c r="D57" s="103" t="s">
        <v>696</v>
      </c>
      <c r="E57" s="104">
        <v>6.7</v>
      </c>
      <c r="F57" s="247"/>
      <c r="G57" s="108"/>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s="233" customFormat="1" x14ac:dyDescent="0.2">
      <c r="A58" s="101"/>
      <c r="B58" s="109"/>
      <c r="C58" s="243" t="s">
        <v>572</v>
      </c>
      <c r="D58" s="103"/>
      <c r="E58" s="104"/>
      <c r="F58" s="105"/>
      <c r="G58" s="302">
        <v>1755586.8</v>
      </c>
      <c r="H58" s="310"/>
    </row>
    <row r="59" spans="1:255" s="233" customFormat="1" ht="17.25" thickBot="1" x14ac:dyDescent="0.25">
      <c r="A59" s="466" t="s">
        <v>698</v>
      </c>
      <c r="B59" s="466"/>
      <c r="C59" s="466"/>
      <c r="D59" s="466"/>
      <c r="E59" s="466"/>
      <c r="F59" s="466"/>
      <c r="G59" s="467"/>
      <c r="H59" s="310"/>
    </row>
    <row r="60" spans="1:255" s="312" customFormat="1" ht="24" x14ac:dyDescent="0.2">
      <c r="A60" s="52">
        <v>1</v>
      </c>
      <c r="B60" s="60" t="s">
        <v>699</v>
      </c>
      <c r="C60" s="53" t="s">
        <v>700</v>
      </c>
      <c r="D60" s="54" t="s">
        <v>425</v>
      </c>
      <c r="E60" s="55">
        <v>79.680000000000007</v>
      </c>
      <c r="F60" s="246"/>
      <c r="G60" s="59"/>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s="312" customFormat="1" ht="22.5" x14ac:dyDescent="0.2">
      <c r="A61" s="101">
        <v>2</v>
      </c>
      <c r="B61" s="109" t="s">
        <v>701</v>
      </c>
      <c r="C61" s="102" t="s">
        <v>702</v>
      </c>
      <c r="D61" s="103" t="s">
        <v>425</v>
      </c>
      <c r="E61" s="104">
        <v>14.93</v>
      </c>
      <c r="F61" s="247"/>
      <c r="G61" s="108"/>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s="312" customFormat="1" ht="22.5" x14ac:dyDescent="0.2">
      <c r="A62" s="101">
        <v>3</v>
      </c>
      <c r="B62" s="109" t="s">
        <v>701</v>
      </c>
      <c r="C62" s="102" t="s">
        <v>703</v>
      </c>
      <c r="D62" s="103" t="s">
        <v>425</v>
      </c>
      <c r="E62" s="104">
        <v>14.567</v>
      </c>
      <c r="F62" s="247"/>
      <c r="G62" s="108"/>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row>
    <row r="63" spans="1:255" s="312" customFormat="1" ht="24" x14ac:dyDescent="0.2">
      <c r="A63" s="101">
        <v>4</v>
      </c>
      <c r="B63" s="109" t="s">
        <v>704</v>
      </c>
      <c r="C63" s="102" t="s">
        <v>705</v>
      </c>
      <c r="D63" s="103" t="s">
        <v>706</v>
      </c>
      <c r="E63" s="104">
        <v>4.0199999999999996</v>
      </c>
      <c r="F63" s="247"/>
      <c r="G63" s="108"/>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customFormat="1" ht="13.5" thickBot="1" x14ac:dyDescent="0.25">
      <c r="A64" s="464" t="s">
        <v>602</v>
      </c>
      <c r="B64" s="442"/>
      <c r="C64" s="442"/>
      <c r="D64" s="442"/>
      <c r="E64" s="442"/>
      <c r="F64" s="442"/>
      <c r="G64" s="465"/>
      <c r="H64" s="311"/>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s="312" customFormat="1" ht="22.5" x14ac:dyDescent="0.2">
      <c r="A65" s="52">
        <v>1</v>
      </c>
      <c r="B65" s="60" t="s">
        <v>707</v>
      </c>
      <c r="C65" s="53" t="s">
        <v>708</v>
      </c>
      <c r="D65" s="54" t="s">
        <v>709</v>
      </c>
      <c r="E65" s="55">
        <v>0.91800000000000004</v>
      </c>
      <c r="F65" s="246"/>
      <c r="G65" s="59"/>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s="312" customFormat="1" ht="24" x14ac:dyDescent="0.2">
      <c r="A66" s="101">
        <v>2</v>
      </c>
      <c r="B66" s="109" t="s">
        <v>710</v>
      </c>
      <c r="C66" s="102" t="s">
        <v>711</v>
      </c>
      <c r="D66" s="103" t="s">
        <v>709</v>
      </c>
      <c r="E66" s="104">
        <v>0.91800000000000004</v>
      </c>
      <c r="F66" s="247"/>
      <c r="G66" s="108"/>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s="312" customFormat="1" ht="24" x14ac:dyDescent="0.2">
      <c r="A67" s="101">
        <v>3</v>
      </c>
      <c r="B67" s="109" t="s">
        <v>712</v>
      </c>
      <c r="C67" s="102" t="s">
        <v>713</v>
      </c>
      <c r="D67" s="103" t="s">
        <v>427</v>
      </c>
      <c r="E67" s="104">
        <v>4.5739999999999998</v>
      </c>
      <c r="F67" s="247"/>
      <c r="G67" s="108"/>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s="312" customFormat="1" ht="24" x14ac:dyDescent="0.2">
      <c r="A68" s="101">
        <v>4</v>
      </c>
      <c r="B68" s="109" t="s">
        <v>714</v>
      </c>
      <c r="C68" s="102" t="s">
        <v>715</v>
      </c>
      <c r="D68" s="103" t="s">
        <v>599</v>
      </c>
      <c r="E68" s="104">
        <v>-4.5739999999999998</v>
      </c>
      <c r="F68" s="247"/>
      <c r="G68" s="108"/>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s="312" customFormat="1" ht="22.5" x14ac:dyDescent="0.2">
      <c r="A69" s="101">
        <v>5</v>
      </c>
      <c r="B69" s="109" t="s">
        <v>716</v>
      </c>
      <c r="C69" s="102" t="s">
        <v>717</v>
      </c>
      <c r="D69" s="103" t="s">
        <v>427</v>
      </c>
      <c r="E69" s="104">
        <v>4.5739999999999998</v>
      </c>
      <c r="F69" s="247"/>
      <c r="G69" s="108"/>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customFormat="1" ht="13.5" thickBot="1" x14ac:dyDescent="0.25">
      <c r="A70" s="464" t="s">
        <v>603</v>
      </c>
      <c r="B70" s="442"/>
      <c r="C70" s="442"/>
      <c r="D70" s="442"/>
      <c r="E70" s="442"/>
      <c r="F70" s="442"/>
      <c r="G70" s="465"/>
      <c r="H70" s="311"/>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s="312" customFormat="1" ht="24" x14ac:dyDescent="0.2">
      <c r="A71" s="52">
        <v>1</v>
      </c>
      <c r="B71" s="60" t="s">
        <v>714</v>
      </c>
      <c r="C71" s="53" t="s">
        <v>715</v>
      </c>
      <c r="D71" s="54" t="s">
        <v>599</v>
      </c>
      <c r="E71" s="55">
        <v>0.48799999999999999</v>
      </c>
      <c r="F71" s="246"/>
      <c r="G71" s="59"/>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row>
    <row r="72" spans="1:255" s="312" customFormat="1" ht="22.5" x14ac:dyDescent="0.2">
      <c r="A72" s="101">
        <v>2</v>
      </c>
      <c r="B72" s="109" t="s">
        <v>718</v>
      </c>
      <c r="C72" s="102" t="s">
        <v>719</v>
      </c>
      <c r="D72" s="103" t="s">
        <v>720</v>
      </c>
      <c r="E72" s="104">
        <v>0.47399999999999998</v>
      </c>
      <c r="F72" s="247"/>
      <c r="G72" s="108"/>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s="312" customFormat="1" ht="24" x14ac:dyDescent="0.2">
      <c r="A73" s="101">
        <v>3</v>
      </c>
      <c r="B73" s="109" t="s">
        <v>721</v>
      </c>
      <c r="C73" s="102" t="s">
        <v>722</v>
      </c>
      <c r="D73" s="103" t="s">
        <v>720</v>
      </c>
      <c r="E73" s="104">
        <v>0.47399999999999998</v>
      </c>
      <c r="F73" s="247"/>
      <c r="G73" s="108"/>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row>
    <row r="74" spans="1:255" s="312" customFormat="1" ht="22.5" x14ac:dyDescent="0.2">
      <c r="A74" s="101">
        <v>4</v>
      </c>
      <c r="B74" s="109" t="s">
        <v>723</v>
      </c>
      <c r="C74" s="102" t="s">
        <v>724</v>
      </c>
      <c r="D74" s="103" t="s">
        <v>720</v>
      </c>
      <c r="E74" s="104">
        <v>0.47399999999999998</v>
      </c>
      <c r="F74" s="247"/>
      <c r="G74" s="108"/>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s="312" customFormat="1" ht="24" x14ac:dyDescent="0.2">
      <c r="A75" s="101">
        <v>5</v>
      </c>
      <c r="B75" s="109" t="s">
        <v>725</v>
      </c>
      <c r="C75" s="102" t="s">
        <v>726</v>
      </c>
      <c r="D75" s="103" t="s">
        <v>720</v>
      </c>
      <c r="E75" s="104">
        <v>0.47399999999999998</v>
      </c>
      <c r="F75" s="247"/>
      <c r="G75" s="108"/>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s="312" customFormat="1" ht="36" x14ac:dyDescent="0.2">
      <c r="A76" s="101">
        <v>6</v>
      </c>
      <c r="B76" s="109" t="s">
        <v>727</v>
      </c>
      <c r="C76" s="102" t="s">
        <v>728</v>
      </c>
      <c r="D76" s="103" t="s">
        <v>709</v>
      </c>
      <c r="E76" s="104">
        <v>0.51400000000000001</v>
      </c>
      <c r="F76" s="247"/>
      <c r="G76" s="108"/>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s="312" customFormat="1" ht="45.75" customHeight="1" x14ac:dyDescent="0.2">
      <c r="A77" s="101">
        <v>7</v>
      </c>
      <c r="B77" s="109" t="s">
        <v>729</v>
      </c>
      <c r="C77" s="102" t="s">
        <v>730</v>
      </c>
      <c r="D77" s="103" t="s">
        <v>427</v>
      </c>
      <c r="E77" s="104">
        <v>0.47399999999999998</v>
      </c>
      <c r="F77" s="247"/>
      <c r="G77" s="108"/>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s="312" customFormat="1" ht="20.25" customHeight="1" thickBot="1" x14ac:dyDescent="0.25">
      <c r="A78" s="339"/>
      <c r="B78" s="339"/>
      <c r="C78" s="468" t="s">
        <v>731</v>
      </c>
      <c r="D78" s="468"/>
      <c r="E78" s="468"/>
      <c r="F78" s="468"/>
      <c r="G78" s="468"/>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s="312" customFormat="1" ht="24" x14ac:dyDescent="0.2">
      <c r="A79" s="52">
        <v>1</v>
      </c>
      <c r="B79" s="60" t="s">
        <v>714</v>
      </c>
      <c r="C79" s="53" t="s">
        <v>715</v>
      </c>
      <c r="D79" s="54" t="s">
        <v>599</v>
      </c>
      <c r="E79" s="55">
        <v>0.47199999999999998</v>
      </c>
      <c r="F79" s="246"/>
      <c r="G79" s="59"/>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row>
    <row r="80" spans="1:255" s="312" customFormat="1" ht="22.5" x14ac:dyDescent="0.2">
      <c r="A80" s="101">
        <v>2</v>
      </c>
      <c r="B80" s="109" t="s">
        <v>723</v>
      </c>
      <c r="C80" s="102" t="s">
        <v>732</v>
      </c>
      <c r="D80" s="103" t="s">
        <v>720</v>
      </c>
      <c r="E80" s="104">
        <v>0.46400000000000002</v>
      </c>
      <c r="F80" s="247"/>
      <c r="G80" s="108"/>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row>
    <row r="81" spans="1:255" s="312" customFormat="1" ht="36" x14ac:dyDescent="0.2">
      <c r="A81" s="101">
        <v>3</v>
      </c>
      <c r="B81" s="109" t="s">
        <v>725</v>
      </c>
      <c r="C81" s="102" t="s">
        <v>733</v>
      </c>
      <c r="D81" s="103" t="s">
        <v>720</v>
      </c>
      <c r="E81" s="104">
        <v>0.46400000000000002</v>
      </c>
      <c r="F81" s="247"/>
      <c r="G81" s="108"/>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row>
    <row r="82" spans="1:255" s="312" customFormat="1" ht="48" x14ac:dyDescent="0.2">
      <c r="A82" s="101">
        <v>4</v>
      </c>
      <c r="B82" s="109" t="s">
        <v>734</v>
      </c>
      <c r="C82" s="102" t="s">
        <v>735</v>
      </c>
      <c r="D82" s="103" t="s">
        <v>427</v>
      </c>
      <c r="E82" s="104">
        <v>0.46400000000000002</v>
      </c>
      <c r="F82" s="247"/>
      <c r="G82" s="108"/>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row>
    <row r="83" spans="1:255" customFormat="1" ht="13.5" thickBot="1" x14ac:dyDescent="0.25">
      <c r="A83" s="441" t="s">
        <v>604</v>
      </c>
      <c r="B83" s="442"/>
      <c r="C83" s="442"/>
      <c r="D83" s="442"/>
      <c r="E83" s="442"/>
      <c r="F83" s="442"/>
      <c r="G83" s="443"/>
      <c r="H83" s="311"/>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row>
    <row r="84" spans="1:255" s="312" customFormat="1" ht="24" x14ac:dyDescent="0.2">
      <c r="A84" s="52">
        <v>1</v>
      </c>
      <c r="B84" s="60" t="s">
        <v>714</v>
      </c>
      <c r="C84" s="53" t="s">
        <v>715</v>
      </c>
      <c r="D84" s="54" t="s">
        <v>599</v>
      </c>
      <c r="E84" s="55">
        <v>0.42599999999999999</v>
      </c>
      <c r="F84" s="246"/>
      <c r="G84" s="59"/>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s="312" customFormat="1" ht="22.5" x14ac:dyDescent="0.2">
      <c r="A85" s="101">
        <v>2</v>
      </c>
      <c r="B85" s="109" t="s">
        <v>723</v>
      </c>
      <c r="C85" s="102" t="s">
        <v>736</v>
      </c>
      <c r="D85" s="103" t="s">
        <v>720</v>
      </c>
      <c r="E85" s="104">
        <v>0.40899999999999997</v>
      </c>
      <c r="F85" s="247"/>
      <c r="G85" s="108"/>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s="312" customFormat="1" ht="36" x14ac:dyDescent="0.2">
      <c r="A86" s="101">
        <v>3</v>
      </c>
      <c r="B86" s="109" t="s">
        <v>725</v>
      </c>
      <c r="C86" s="102" t="s">
        <v>737</v>
      </c>
      <c r="D86" s="103" t="s">
        <v>720</v>
      </c>
      <c r="E86" s="104">
        <v>0.40899999999999997</v>
      </c>
      <c r="F86" s="247"/>
      <c r="G86" s="108"/>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s="312" customFormat="1" ht="48" x14ac:dyDescent="0.2">
      <c r="A87" s="101">
        <v>4</v>
      </c>
      <c r="B87" s="109" t="s">
        <v>734</v>
      </c>
      <c r="C87" s="102" t="s">
        <v>735</v>
      </c>
      <c r="D87" s="103" t="s">
        <v>427</v>
      </c>
      <c r="E87" s="104">
        <v>0.40899999999999997</v>
      </c>
      <c r="F87" s="247"/>
      <c r="G87" s="108"/>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customFormat="1" ht="13.5" thickBot="1" x14ac:dyDescent="0.25">
      <c r="A88" s="441" t="s">
        <v>605</v>
      </c>
      <c r="B88" s="442"/>
      <c r="C88" s="442"/>
      <c r="D88" s="442"/>
      <c r="E88" s="442"/>
      <c r="F88" s="442"/>
      <c r="G88" s="44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s="312" customFormat="1" ht="48" x14ac:dyDescent="0.2">
      <c r="A89" s="52">
        <v>1</v>
      </c>
      <c r="B89" s="60" t="s">
        <v>734</v>
      </c>
      <c r="C89" s="53" t="s">
        <v>735</v>
      </c>
      <c r="D89" s="54" t="s">
        <v>427</v>
      </c>
      <c r="E89" s="55">
        <v>0.10100000000000001</v>
      </c>
      <c r="F89" s="246"/>
      <c r="G89" s="59"/>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row>
    <row r="90" spans="1:255" customFormat="1" ht="13.5" thickBot="1" x14ac:dyDescent="0.25">
      <c r="A90" s="441" t="s">
        <v>738</v>
      </c>
      <c r="B90" s="442"/>
      <c r="C90" s="442"/>
      <c r="D90" s="442"/>
      <c r="E90" s="442"/>
      <c r="F90" s="442"/>
      <c r="G90" s="44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s="312" customFormat="1" ht="36" x14ac:dyDescent="0.2">
      <c r="A91" s="52">
        <v>4</v>
      </c>
      <c r="B91" s="60" t="s">
        <v>727</v>
      </c>
      <c r="C91" s="53" t="s">
        <v>728</v>
      </c>
      <c r="D91" s="54" t="s">
        <v>709</v>
      </c>
      <c r="E91" s="55">
        <v>7.3999999999999996E-2</v>
      </c>
      <c r="F91" s="246"/>
      <c r="G91" s="59"/>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row>
    <row r="92" spans="1:255" s="312" customFormat="1" ht="48" x14ac:dyDescent="0.2">
      <c r="A92" s="101">
        <v>5</v>
      </c>
      <c r="B92" s="109" t="s">
        <v>729</v>
      </c>
      <c r="C92" s="102" t="s">
        <v>730</v>
      </c>
      <c r="D92" s="103" t="s">
        <v>427</v>
      </c>
      <c r="E92" s="104">
        <v>6.8000000000000005E-2</v>
      </c>
      <c r="F92" s="247"/>
      <c r="G92" s="108"/>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row>
    <row r="93" spans="1:255" s="312" customFormat="1" ht="13.5" thickBot="1" x14ac:dyDescent="0.25">
      <c r="A93" s="340"/>
      <c r="B93" s="341"/>
      <c r="C93" s="424" t="s">
        <v>739</v>
      </c>
      <c r="D93" s="424"/>
      <c r="E93" s="424"/>
      <c r="F93" s="424"/>
      <c r="G93" s="424"/>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row>
    <row r="94" spans="1:255" s="312" customFormat="1" ht="22.5" x14ac:dyDescent="0.2">
      <c r="A94" s="52">
        <v>1</v>
      </c>
      <c r="B94" s="60" t="s">
        <v>718</v>
      </c>
      <c r="C94" s="53" t="s">
        <v>740</v>
      </c>
      <c r="D94" s="54" t="s">
        <v>720</v>
      </c>
      <c r="E94" s="55">
        <v>0.30499999999999999</v>
      </c>
      <c r="F94" s="246"/>
      <c r="G94" s="59"/>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s="312" customFormat="1" ht="36" x14ac:dyDescent="0.2">
      <c r="A95" s="101">
        <v>2</v>
      </c>
      <c r="B95" s="109" t="s">
        <v>721</v>
      </c>
      <c r="C95" s="102" t="s">
        <v>741</v>
      </c>
      <c r="D95" s="103" t="s">
        <v>720</v>
      </c>
      <c r="E95" s="104">
        <v>0.30499999999999999</v>
      </c>
      <c r="F95" s="247"/>
      <c r="G95" s="108"/>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row>
    <row r="96" spans="1:255" s="312" customFormat="1" ht="24" x14ac:dyDescent="0.2">
      <c r="A96" s="101">
        <v>3</v>
      </c>
      <c r="B96" s="109" t="s">
        <v>714</v>
      </c>
      <c r="C96" s="102" t="s">
        <v>715</v>
      </c>
      <c r="D96" s="103" t="s">
        <v>599</v>
      </c>
      <c r="E96" s="104">
        <v>0.30499999999999999</v>
      </c>
      <c r="F96" s="247"/>
      <c r="G96" s="108"/>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row>
    <row r="97" spans="1:255" s="312" customFormat="1" ht="22.5" x14ac:dyDescent="0.2">
      <c r="A97" s="101">
        <v>4</v>
      </c>
      <c r="B97" s="109" t="s">
        <v>723</v>
      </c>
      <c r="C97" s="102" t="s">
        <v>742</v>
      </c>
      <c r="D97" s="103" t="s">
        <v>720</v>
      </c>
      <c r="E97" s="104">
        <v>0.30499999999999999</v>
      </c>
      <c r="F97" s="247"/>
      <c r="G97" s="108"/>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row>
    <row r="98" spans="1:255" s="312" customFormat="1" ht="24" x14ac:dyDescent="0.2">
      <c r="A98" s="101">
        <v>5</v>
      </c>
      <c r="B98" s="109" t="s">
        <v>725</v>
      </c>
      <c r="C98" s="102" t="s">
        <v>726</v>
      </c>
      <c r="D98" s="103" t="s">
        <v>720</v>
      </c>
      <c r="E98" s="104">
        <v>0.30499999999999999</v>
      </c>
      <c r="F98" s="247"/>
      <c r="G98" s="108"/>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row>
    <row r="99" spans="1:255" s="312" customFormat="1" ht="48" x14ac:dyDescent="0.2">
      <c r="A99" s="101">
        <v>6</v>
      </c>
      <c r="B99" s="109" t="s">
        <v>729</v>
      </c>
      <c r="C99" s="102" t="s">
        <v>730</v>
      </c>
      <c r="D99" s="103" t="s">
        <v>427</v>
      </c>
      <c r="E99" s="104">
        <v>0.30499999999999999</v>
      </c>
      <c r="F99" s="247"/>
      <c r="G99" s="108"/>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customFormat="1" ht="13.5" thickBot="1" x14ac:dyDescent="0.25">
      <c r="A100" s="441" t="s">
        <v>608</v>
      </c>
      <c r="B100" s="442"/>
      <c r="C100" s="442"/>
      <c r="D100" s="442"/>
      <c r="E100" s="442"/>
      <c r="F100" s="442"/>
      <c r="G100" s="44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row>
    <row r="101" spans="1:255" s="312" customFormat="1" ht="22.5" x14ac:dyDescent="0.2">
      <c r="A101" s="52">
        <v>1</v>
      </c>
      <c r="B101" s="60" t="s">
        <v>707</v>
      </c>
      <c r="C101" s="53" t="s">
        <v>708</v>
      </c>
      <c r="D101" s="54" t="s">
        <v>709</v>
      </c>
      <c r="E101" s="55">
        <v>14.654999999999999</v>
      </c>
      <c r="F101" s="246"/>
      <c r="G101" s="59"/>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s="312" customFormat="1" ht="24" x14ac:dyDescent="0.2">
      <c r="A102" s="340">
        <v>2</v>
      </c>
      <c r="B102" s="341" t="s">
        <v>710</v>
      </c>
      <c r="C102" s="342" t="s">
        <v>711</v>
      </c>
      <c r="D102" s="343" t="s">
        <v>709</v>
      </c>
      <c r="E102" s="344">
        <v>14.654999999999999</v>
      </c>
      <c r="F102" s="345"/>
      <c r="G102" s="346"/>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row>
    <row r="103" spans="1:255" s="312" customFormat="1" ht="22.5" x14ac:dyDescent="0.2">
      <c r="A103" s="101">
        <v>3</v>
      </c>
      <c r="B103" s="109" t="s">
        <v>716</v>
      </c>
      <c r="C103" s="102" t="s">
        <v>717</v>
      </c>
      <c r="D103" s="103" t="s">
        <v>427</v>
      </c>
      <c r="E103" s="104">
        <v>73.284999999999997</v>
      </c>
      <c r="F103" s="247"/>
      <c r="G103" s="108"/>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customFormat="1" ht="13.5" thickBot="1" x14ac:dyDescent="0.25">
      <c r="A104" s="441" t="s">
        <v>609</v>
      </c>
      <c r="B104" s="442"/>
      <c r="C104" s="442"/>
      <c r="D104" s="442"/>
      <c r="E104" s="442"/>
      <c r="F104" s="442"/>
      <c r="G104" s="44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row>
    <row r="105" spans="1:255" s="312" customFormat="1" ht="36" x14ac:dyDescent="0.2">
      <c r="A105" s="52">
        <v>1</v>
      </c>
      <c r="B105" s="60" t="s">
        <v>727</v>
      </c>
      <c r="C105" s="53" t="s">
        <v>728</v>
      </c>
      <c r="D105" s="54" t="s">
        <v>709</v>
      </c>
      <c r="E105" s="55">
        <v>7.6859999999999999</v>
      </c>
      <c r="F105" s="246"/>
      <c r="G105" s="59"/>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s="312" customFormat="1" ht="48" x14ac:dyDescent="0.2">
      <c r="A106" s="101">
        <v>2</v>
      </c>
      <c r="B106" s="109" t="s">
        <v>729</v>
      </c>
      <c r="C106" s="102" t="s">
        <v>730</v>
      </c>
      <c r="D106" s="103" t="s">
        <v>427</v>
      </c>
      <c r="E106" s="104">
        <v>7.1139999999999999</v>
      </c>
      <c r="F106" s="247"/>
      <c r="G106" s="108"/>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row>
    <row r="107" spans="1:255" customFormat="1" ht="13.5" thickBot="1" x14ac:dyDescent="0.25">
      <c r="A107" s="441" t="s">
        <v>743</v>
      </c>
      <c r="B107" s="442"/>
      <c r="C107" s="442"/>
      <c r="D107" s="442"/>
      <c r="E107" s="442"/>
      <c r="F107" s="442"/>
      <c r="G107" s="44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s="312" customFormat="1" ht="48" x14ac:dyDescent="0.2">
      <c r="A108" s="52">
        <v>1</v>
      </c>
      <c r="B108" s="60" t="s">
        <v>729</v>
      </c>
      <c r="C108" s="53" t="s">
        <v>730</v>
      </c>
      <c r="D108" s="54" t="s">
        <v>427</v>
      </c>
      <c r="E108" s="55">
        <v>11.106999999999999</v>
      </c>
      <c r="F108" s="246"/>
      <c r="G108" s="59"/>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row>
    <row r="109" spans="1:255" s="233" customFormat="1" x14ac:dyDescent="0.2">
      <c r="A109" s="101"/>
      <c r="B109" s="109"/>
      <c r="C109" s="243" t="s">
        <v>572</v>
      </c>
      <c r="D109" s="103"/>
      <c r="E109" s="104"/>
      <c r="F109" s="105"/>
      <c r="G109" s="302">
        <v>6633519</v>
      </c>
      <c r="H109" s="310"/>
    </row>
    <row r="110" spans="1:255" x14ac:dyDescent="0.3">
      <c r="A110" s="435" t="s">
        <v>873</v>
      </c>
      <c r="B110" s="435"/>
      <c r="C110" s="435"/>
      <c r="D110" s="435"/>
      <c r="E110" s="435"/>
      <c r="F110" s="435"/>
      <c r="G110" s="436"/>
    </row>
    <row r="111" spans="1:255" customFormat="1" ht="12.75" customHeight="1" thickBot="1" x14ac:dyDescent="0.25">
      <c r="A111" s="431" t="s">
        <v>744</v>
      </c>
      <c r="B111" s="431"/>
      <c r="C111" s="431"/>
      <c r="D111" s="431"/>
      <c r="E111" s="431"/>
      <c r="F111" s="431"/>
      <c r="G111" s="432"/>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row>
    <row r="112" spans="1:255" s="312" customFormat="1" ht="56.25" x14ac:dyDescent="0.2">
      <c r="A112" s="52">
        <v>1</v>
      </c>
      <c r="B112" s="60" t="s">
        <v>745</v>
      </c>
      <c r="C112" s="53" t="s">
        <v>746</v>
      </c>
      <c r="D112" s="54" t="s">
        <v>596</v>
      </c>
      <c r="E112" s="55">
        <v>4.12</v>
      </c>
      <c r="F112" s="246"/>
      <c r="G112" s="59"/>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row>
    <row r="113" spans="1:255" s="312" customFormat="1" ht="56.25" x14ac:dyDescent="0.2">
      <c r="A113" s="101">
        <v>2</v>
      </c>
      <c r="B113" s="109" t="s">
        <v>747</v>
      </c>
      <c r="C113" s="102" t="s">
        <v>748</v>
      </c>
      <c r="D113" s="103" t="s">
        <v>596</v>
      </c>
      <c r="E113" s="104">
        <v>10.9</v>
      </c>
      <c r="F113" s="247"/>
      <c r="G113" s="108"/>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row>
    <row r="114" spans="1:255" s="312" customFormat="1" ht="45" x14ac:dyDescent="0.2">
      <c r="A114" s="101">
        <v>3</v>
      </c>
      <c r="B114" s="109" t="s">
        <v>749</v>
      </c>
      <c r="C114" s="102" t="s">
        <v>750</v>
      </c>
      <c r="D114" s="103" t="s">
        <v>610</v>
      </c>
      <c r="E114" s="104">
        <v>0.77200000000000002</v>
      </c>
      <c r="F114" s="247"/>
      <c r="G114" s="108"/>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row>
    <row r="115" spans="1:255" s="312" customFormat="1" ht="45" x14ac:dyDescent="0.2">
      <c r="A115" s="101">
        <v>4</v>
      </c>
      <c r="B115" s="109" t="s">
        <v>751</v>
      </c>
      <c r="C115" s="102" t="s">
        <v>752</v>
      </c>
      <c r="D115" s="103" t="s">
        <v>610</v>
      </c>
      <c r="E115" s="104">
        <v>2.536</v>
      </c>
      <c r="F115" s="247"/>
      <c r="G115" s="108"/>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row>
    <row r="116" spans="1:255" s="312" customFormat="1" ht="45" x14ac:dyDescent="0.2">
      <c r="A116" s="101">
        <v>5</v>
      </c>
      <c r="B116" s="109" t="s">
        <v>753</v>
      </c>
      <c r="C116" s="102" t="s">
        <v>754</v>
      </c>
      <c r="D116" s="103" t="s">
        <v>610</v>
      </c>
      <c r="E116" s="104">
        <v>1.1539999999999999</v>
      </c>
      <c r="F116" s="247"/>
      <c r="G116" s="108"/>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row>
    <row r="117" spans="1:255" customFormat="1" ht="12.75" customHeight="1" thickBot="1" x14ac:dyDescent="0.25">
      <c r="A117" s="431" t="s">
        <v>613</v>
      </c>
      <c r="B117" s="431"/>
      <c r="C117" s="431"/>
      <c r="D117" s="431"/>
      <c r="E117" s="431"/>
      <c r="F117" s="431"/>
      <c r="G117" s="432"/>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s="312" customFormat="1" ht="24" x14ac:dyDescent="0.2">
      <c r="A118" s="52">
        <v>6</v>
      </c>
      <c r="B118" s="60" t="s">
        <v>755</v>
      </c>
      <c r="C118" s="53" t="s">
        <v>756</v>
      </c>
      <c r="D118" s="54" t="s">
        <v>427</v>
      </c>
      <c r="E118" s="55">
        <v>16.437000000000001</v>
      </c>
      <c r="F118" s="246"/>
      <c r="G118" s="59"/>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row>
    <row r="119" spans="1:255" s="312" customFormat="1" ht="24" x14ac:dyDescent="0.2">
      <c r="A119" s="101">
        <v>7</v>
      </c>
      <c r="B119" s="109" t="s">
        <v>707</v>
      </c>
      <c r="C119" s="102" t="s">
        <v>757</v>
      </c>
      <c r="D119" s="103" t="s">
        <v>709</v>
      </c>
      <c r="E119" s="104">
        <v>44.92</v>
      </c>
      <c r="F119" s="247"/>
      <c r="G119" s="108"/>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s="312" customFormat="1" ht="24" x14ac:dyDescent="0.2">
      <c r="A120" s="101">
        <v>8</v>
      </c>
      <c r="B120" s="109" t="s">
        <v>758</v>
      </c>
      <c r="C120" s="102" t="s">
        <v>759</v>
      </c>
      <c r="D120" s="103" t="s">
        <v>709</v>
      </c>
      <c r="E120" s="104">
        <v>16.437000000000001</v>
      </c>
      <c r="F120" s="247"/>
      <c r="G120" s="108"/>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row>
    <row r="121" spans="1:255" s="312" customFormat="1" ht="24" x14ac:dyDescent="0.2">
      <c r="A121" s="101">
        <v>9</v>
      </c>
      <c r="B121" s="109" t="s">
        <v>760</v>
      </c>
      <c r="C121" s="102" t="s">
        <v>761</v>
      </c>
      <c r="D121" s="103" t="s">
        <v>709</v>
      </c>
      <c r="E121" s="104">
        <v>16.437000000000001</v>
      </c>
      <c r="F121" s="247"/>
      <c r="G121" s="108"/>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s="312" customFormat="1" ht="24" x14ac:dyDescent="0.2">
      <c r="A122" s="101">
        <v>10</v>
      </c>
      <c r="B122" s="109" t="s">
        <v>762</v>
      </c>
      <c r="C122" s="102" t="s">
        <v>763</v>
      </c>
      <c r="D122" s="103" t="s">
        <v>709</v>
      </c>
      <c r="E122" s="104">
        <v>47.433</v>
      </c>
      <c r="F122" s="247"/>
      <c r="G122" s="108"/>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s="312" customFormat="1" ht="24" x14ac:dyDescent="0.2">
      <c r="A123" s="101">
        <v>11</v>
      </c>
      <c r="B123" s="109" t="s">
        <v>764</v>
      </c>
      <c r="C123" s="102" t="s">
        <v>765</v>
      </c>
      <c r="D123" s="103" t="s">
        <v>709</v>
      </c>
      <c r="E123" s="104">
        <v>47.433</v>
      </c>
      <c r="F123" s="247"/>
      <c r="G123" s="108"/>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row>
    <row r="124" spans="1:255" s="312" customFormat="1" ht="24" x14ac:dyDescent="0.2">
      <c r="A124" s="101">
        <v>12</v>
      </c>
      <c r="B124" s="109" t="s">
        <v>766</v>
      </c>
      <c r="C124" s="102" t="s">
        <v>767</v>
      </c>
      <c r="D124" s="103" t="s">
        <v>709</v>
      </c>
      <c r="E124" s="104">
        <v>44.235999999999997</v>
      </c>
      <c r="F124" s="247"/>
      <c r="G124" s="108"/>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s="312" customFormat="1" ht="24" x14ac:dyDescent="0.2">
      <c r="A125" s="101">
        <v>13</v>
      </c>
      <c r="B125" s="109" t="s">
        <v>764</v>
      </c>
      <c r="C125" s="102" t="s">
        <v>768</v>
      </c>
      <c r="D125" s="103" t="s">
        <v>709</v>
      </c>
      <c r="E125" s="104">
        <v>4.0999999999999996</v>
      </c>
      <c r="F125" s="247"/>
      <c r="G125" s="108"/>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s="312" customFormat="1" ht="24" x14ac:dyDescent="0.2">
      <c r="A126" s="101">
        <v>14</v>
      </c>
      <c r="B126" s="109" t="s">
        <v>762</v>
      </c>
      <c r="C126" s="102" t="s">
        <v>769</v>
      </c>
      <c r="D126" s="103" t="s">
        <v>709</v>
      </c>
      <c r="E126" s="104">
        <v>1.1539999999999999</v>
      </c>
      <c r="F126" s="247"/>
      <c r="G126" s="108"/>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s="312" customFormat="1" ht="24" x14ac:dyDescent="0.2">
      <c r="A127" s="101">
        <v>15</v>
      </c>
      <c r="B127" s="109" t="s">
        <v>764</v>
      </c>
      <c r="C127" s="102" t="s">
        <v>770</v>
      </c>
      <c r="D127" s="103" t="s">
        <v>709</v>
      </c>
      <c r="E127" s="104">
        <v>1.1539999999999999</v>
      </c>
      <c r="F127" s="247"/>
      <c r="G127" s="108"/>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row>
    <row r="128" spans="1:255" s="312" customFormat="1" ht="24" x14ac:dyDescent="0.2">
      <c r="A128" s="101">
        <v>16</v>
      </c>
      <c r="B128" s="109" t="s">
        <v>766</v>
      </c>
      <c r="C128" s="102" t="s">
        <v>771</v>
      </c>
      <c r="D128" s="103" t="s">
        <v>709</v>
      </c>
      <c r="E128" s="104">
        <v>1.1539999999999999</v>
      </c>
      <c r="F128" s="247"/>
      <c r="G128" s="108"/>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s="312" customFormat="1" ht="36" x14ac:dyDescent="0.2">
      <c r="A129" s="101">
        <v>17</v>
      </c>
      <c r="B129" s="109" t="s">
        <v>772</v>
      </c>
      <c r="C129" s="102" t="s">
        <v>773</v>
      </c>
      <c r="D129" s="103" t="s">
        <v>709</v>
      </c>
      <c r="E129" s="104">
        <v>16.686</v>
      </c>
      <c r="F129" s="247"/>
      <c r="G129" s="108"/>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row>
    <row r="130" spans="1:255" s="312" customFormat="1" ht="22.5" x14ac:dyDescent="0.2">
      <c r="A130" s="101">
        <v>18</v>
      </c>
      <c r="B130" s="109" t="s">
        <v>707</v>
      </c>
      <c r="C130" s="102" t="s">
        <v>774</v>
      </c>
      <c r="D130" s="103" t="s">
        <v>709</v>
      </c>
      <c r="E130" s="104">
        <v>52.773000000000003</v>
      </c>
      <c r="F130" s="247"/>
      <c r="G130" s="108"/>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s="312" customFormat="1" ht="22.5" x14ac:dyDescent="0.2">
      <c r="A131" s="101">
        <v>19</v>
      </c>
      <c r="B131" s="109" t="s">
        <v>707</v>
      </c>
      <c r="C131" s="102" t="s">
        <v>775</v>
      </c>
      <c r="D131" s="103" t="s">
        <v>709</v>
      </c>
      <c r="E131" s="104">
        <v>1.1539999999999999</v>
      </c>
      <c r="F131" s="247"/>
      <c r="G131" s="108"/>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s="312" customFormat="1" ht="36" x14ac:dyDescent="0.2">
      <c r="A132" s="101">
        <v>20</v>
      </c>
      <c r="B132" s="109" t="s">
        <v>776</v>
      </c>
      <c r="C132" s="102" t="s">
        <v>777</v>
      </c>
      <c r="D132" s="103" t="s">
        <v>709</v>
      </c>
      <c r="E132" s="104">
        <v>16.686</v>
      </c>
      <c r="F132" s="247"/>
      <c r="G132" s="108"/>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row>
    <row r="133" spans="1:255" s="312" customFormat="1" ht="36" x14ac:dyDescent="0.2">
      <c r="A133" s="101">
        <v>21</v>
      </c>
      <c r="B133" s="109" t="s">
        <v>778</v>
      </c>
      <c r="C133" s="102" t="s">
        <v>779</v>
      </c>
      <c r="D133" s="103" t="s">
        <v>709</v>
      </c>
      <c r="E133" s="104">
        <v>52.469000000000001</v>
      </c>
      <c r="F133" s="247"/>
      <c r="G133" s="108"/>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s="312" customFormat="1" ht="36" x14ac:dyDescent="0.2">
      <c r="A134" s="101">
        <v>22</v>
      </c>
      <c r="B134" s="109" t="s">
        <v>778</v>
      </c>
      <c r="C134" s="102" t="s">
        <v>780</v>
      </c>
      <c r="D134" s="103" t="s">
        <v>709</v>
      </c>
      <c r="E134" s="104">
        <v>1.1539999999999999</v>
      </c>
      <c r="F134" s="247"/>
      <c r="G134" s="108"/>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row>
    <row r="135" spans="1:255" s="312" customFormat="1" ht="56.25" x14ac:dyDescent="0.2">
      <c r="A135" s="101">
        <v>23</v>
      </c>
      <c r="B135" s="109" t="s">
        <v>781</v>
      </c>
      <c r="C135" s="102" t="s">
        <v>782</v>
      </c>
      <c r="D135" s="103" t="s">
        <v>596</v>
      </c>
      <c r="E135" s="104">
        <v>0.97</v>
      </c>
      <c r="F135" s="247"/>
      <c r="G135" s="108"/>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s="312" customFormat="1" ht="22.5" x14ac:dyDescent="0.2">
      <c r="A136" s="101">
        <v>24</v>
      </c>
      <c r="B136" s="109" t="s">
        <v>611</v>
      </c>
      <c r="C136" s="102" t="s">
        <v>783</v>
      </c>
      <c r="D136" s="103" t="s">
        <v>612</v>
      </c>
      <c r="E136" s="104">
        <v>0.107</v>
      </c>
      <c r="F136" s="247"/>
      <c r="G136" s="108"/>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row>
    <row r="137" spans="1:255" customFormat="1" ht="12.75" customHeight="1" thickBot="1" x14ac:dyDescent="0.25">
      <c r="A137" s="433" t="s">
        <v>614</v>
      </c>
      <c r="B137" s="433"/>
      <c r="C137" s="433"/>
      <c r="D137" s="433"/>
      <c r="E137" s="433"/>
      <c r="F137" s="433"/>
      <c r="G137" s="434"/>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s="312" customFormat="1" ht="45" x14ac:dyDescent="0.2">
      <c r="A138" s="52">
        <v>26</v>
      </c>
      <c r="B138" s="60" t="s">
        <v>784</v>
      </c>
      <c r="C138" s="53" t="s">
        <v>785</v>
      </c>
      <c r="D138" s="54" t="s">
        <v>786</v>
      </c>
      <c r="E138" s="55">
        <v>0.53400000000000003</v>
      </c>
      <c r="F138" s="246"/>
      <c r="G138" s="59"/>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customFormat="1" ht="12.75" customHeight="1" thickBot="1" x14ac:dyDescent="0.25">
      <c r="A139" s="431" t="s">
        <v>615</v>
      </c>
      <c r="B139" s="431"/>
      <c r="C139" s="431"/>
      <c r="D139" s="431"/>
      <c r="E139" s="431"/>
      <c r="F139" s="431"/>
      <c r="G139" s="432"/>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row>
    <row r="140" spans="1:255" s="312" customFormat="1" ht="48" x14ac:dyDescent="0.2">
      <c r="A140" s="52">
        <v>27</v>
      </c>
      <c r="B140" s="60" t="s">
        <v>787</v>
      </c>
      <c r="C140" s="53" t="s">
        <v>788</v>
      </c>
      <c r="D140" s="54" t="s">
        <v>789</v>
      </c>
      <c r="E140" s="55">
        <v>6.0999999999999999E-2</v>
      </c>
      <c r="F140" s="246"/>
      <c r="G140" s="59"/>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5" s="312" customFormat="1" ht="12.75" x14ac:dyDescent="0.2">
      <c r="A141" s="431" t="s">
        <v>790</v>
      </c>
      <c r="B141" s="431"/>
      <c r="C141" s="431"/>
      <c r="D141" s="431"/>
      <c r="E141" s="431"/>
      <c r="F141" s="431"/>
      <c r="G141" s="432"/>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row>
    <row r="142" spans="1:255" s="312" customFormat="1" ht="24" x14ac:dyDescent="0.2">
      <c r="A142" s="101">
        <v>28</v>
      </c>
      <c r="B142" s="109" t="s">
        <v>791</v>
      </c>
      <c r="C142" s="102" t="s">
        <v>792</v>
      </c>
      <c r="D142" s="103" t="s">
        <v>793</v>
      </c>
      <c r="E142" s="104">
        <v>0.25</v>
      </c>
      <c r="F142" s="247"/>
      <c r="G142" s="108"/>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5" s="312" customFormat="1" ht="24" x14ac:dyDescent="0.2">
      <c r="A143" s="101">
        <v>29</v>
      </c>
      <c r="B143" s="109" t="s">
        <v>760</v>
      </c>
      <c r="C143" s="102" t="s">
        <v>794</v>
      </c>
      <c r="D143" s="103" t="s">
        <v>709</v>
      </c>
      <c r="E143" s="104">
        <v>0.25</v>
      </c>
      <c r="F143" s="247"/>
      <c r="G143" s="108"/>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row>
    <row r="144" spans="1:255" customFormat="1" ht="12.75" customHeight="1" thickBot="1" x14ac:dyDescent="0.25">
      <c r="A144" s="431" t="s">
        <v>616</v>
      </c>
      <c r="B144" s="431"/>
      <c r="C144" s="431"/>
      <c r="D144" s="431"/>
      <c r="E144" s="431"/>
      <c r="F144" s="431"/>
      <c r="G144" s="432"/>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row>
    <row r="145" spans="1:255" s="312" customFormat="1" ht="22.5" x14ac:dyDescent="0.2">
      <c r="A145" s="52">
        <v>30</v>
      </c>
      <c r="B145" s="60" t="s">
        <v>617</v>
      </c>
      <c r="C145" s="53" t="s">
        <v>795</v>
      </c>
      <c r="D145" s="54" t="s">
        <v>618</v>
      </c>
      <c r="E145" s="55">
        <v>3.4</v>
      </c>
      <c r="F145" s="246"/>
      <c r="G145" s="5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row>
    <row r="146" spans="1:255" s="312" customFormat="1" ht="33.75" x14ac:dyDescent="0.2">
      <c r="A146" s="101">
        <v>31</v>
      </c>
      <c r="B146" s="109" t="s">
        <v>796</v>
      </c>
      <c r="C146" s="102" t="s">
        <v>797</v>
      </c>
      <c r="D146" s="103" t="s">
        <v>798</v>
      </c>
      <c r="E146" s="104">
        <v>0.06</v>
      </c>
      <c r="F146" s="247"/>
      <c r="G146" s="108"/>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row>
    <row r="147" spans="1:255" s="312" customFormat="1" ht="12.75" x14ac:dyDescent="0.2">
      <c r="A147" s="431" t="s">
        <v>799</v>
      </c>
      <c r="B147" s="431"/>
      <c r="C147" s="431"/>
      <c r="D147" s="431"/>
      <c r="E147" s="431"/>
      <c r="F147" s="431"/>
      <c r="G147" s="432"/>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row>
    <row r="148" spans="1:255" s="312" customFormat="1" ht="33.75" x14ac:dyDescent="0.2">
      <c r="A148" s="101">
        <v>32</v>
      </c>
      <c r="B148" s="109" t="s">
        <v>796</v>
      </c>
      <c r="C148" s="102" t="s">
        <v>800</v>
      </c>
      <c r="D148" s="103" t="s">
        <v>798</v>
      </c>
      <c r="E148" s="104">
        <v>1.1999999999999999E-2</v>
      </c>
      <c r="F148" s="247"/>
      <c r="G148" s="108"/>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row>
    <row r="149" spans="1:255" s="312" customFormat="1" ht="33.75" x14ac:dyDescent="0.2">
      <c r="A149" s="101">
        <v>33</v>
      </c>
      <c r="B149" s="109" t="s">
        <v>796</v>
      </c>
      <c r="C149" s="102" t="s">
        <v>801</v>
      </c>
      <c r="D149" s="103" t="s">
        <v>798</v>
      </c>
      <c r="E149" s="104">
        <f>0.0312/3*2</f>
        <v>2.0799999999999999E-2</v>
      </c>
      <c r="F149" s="247"/>
      <c r="G149" s="108"/>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row>
    <row r="150" spans="1:255" s="233" customFormat="1" x14ac:dyDescent="0.2">
      <c r="A150" s="101"/>
      <c r="B150" s="109"/>
      <c r="C150" s="243" t="s">
        <v>572</v>
      </c>
      <c r="D150" s="103"/>
      <c r="E150" s="104"/>
      <c r="F150" s="105"/>
      <c r="G150" s="302">
        <v>3962403.3</v>
      </c>
      <c r="H150" s="310"/>
    </row>
    <row r="151" spans="1:255" ht="17.25" thickBot="1" x14ac:dyDescent="0.35">
      <c r="A151" s="435" t="s">
        <v>803</v>
      </c>
      <c r="B151" s="435"/>
      <c r="C151" s="435"/>
      <c r="D151" s="435"/>
      <c r="E151" s="435"/>
      <c r="F151" s="435"/>
      <c r="G151" s="436"/>
    </row>
    <row r="152" spans="1:255" s="312" customFormat="1" ht="13.5" thickBot="1" x14ac:dyDescent="0.25">
      <c r="A152" s="52"/>
      <c r="B152" s="60"/>
      <c r="C152" s="424" t="s">
        <v>802</v>
      </c>
      <c r="D152" s="424"/>
      <c r="E152" s="424"/>
      <c r="F152" s="424"/>
      <c r="G152" s="424"/>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row>
    <row r="153" spans="1:255" s="312" customFormat="1" ht="56.25" x14ac:dyDescent="0.2">
      <c r="A153" s="52">
        <v>1</v>
      </c>
      <c r="B153" s="60" t="s">
        <v>745</v>
      </c>
      <c r="C153" s="53" t="s">
        <v>746</v>
      </c>
      <c r="D153" s="54" t="s">
        <v>596</v>
      </c>
      <c r="E153" s="55">
        <v>21.19</v>
      </c>
      <c r="F153" s="247"/>
      <c r="G153" s="108"/>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row>
    <row r="154" spans="1:255" s="312" customFormat="1" ht="56.25" x14ac:dyDescent="0.2">
      <c r="A154" s="101">
        <v>2</v>
      </c>
      <c r="B154" s="109" t="s">
        <v>747</v>
      </c>
      <c r="C154" s="102" t="s">
        <v>748</v>
      </c>
      <c r="D154" s="103" t="s">
        <v>596</v>
      </c>
      <c r="E154" s="104">
        <v>84.697000000000003</v>
      </c>
      <c r="F154" s="247"/>
      <c r="G154" s="108"/>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row>
    <row r="155" spans="1:255" s="312" customFormat="1" ht="24" x14ac:dyDescent="0.2">
      <c r="A155" s="101">
        <v>3</v>
      </c>
      <c r="B155" s="109" t="s">
        <v>804</v>
      </c>
      <c r="C155" s="102" t="s">
        <v>805</v>
      </c>
      <c r="D155" s="103" t="s">
        <v>806</v>
      </c>
      <c r="E155" s="104">
        <v>1.534</v>
      </c>
      <c r="F155" s="247"/>
      <c r="G155" s="108"/>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row>
    <row r="156" spans="1:255" s="312" customFormat="1" ht="24" x14ac:dyDescent="0.2">
      <c r="A156" s="101">
        <v>4</v>
      </c>
      <c r="B156" s="109" t="s">
        <v>807</v>
      </c>
      <c r="C156" s="102" t="s">
        <v>808</v>
      </c>
      <c r="D156" s="103" t="s">
        <v>806</v>
      </c>
      <c r="E156" s="104">
        <v>10.134</v>
      </c>
      <c r="F156" s="247"/>
      <c r="G156" s="108"/>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row>
    <row r="157" spans="1:255" customFormat="1" ht="12.75" customHeight="1" thickBot="1" x14ac:dyDescent="0.25">
      <c r="A157" s="431" t="s">
        <v>613</v>
      </c>
      <c r="B157" s="431"/>
      <c r="C157" s="431"/>
      <c r="D157" s="431"/>
      <c r="E157" s="431"/>
      <c r="F157" s="431"/>
      <c r="G157" s="432"/>
      <c r="H157" s="311"/>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row>
    <row r="158" spans="1:255" s="312" customFormat="1" ht="24" x14ac:dyDescent="0.2">
      <c r="A158" s="52">
        <v>1</v>
      </c>
      <c r="B158" s="60" t="s">
        <v>755</v>
      </c>
      <c r="C158" s="53" t="s">
        <v>756</v>
      </c>
      <c r="D158" s="54" t="s">
        <v>427</v>
      </c>
      <c r="E158" s="55">
        <v>77.12</v>
      </c>
      <c r="F158" s="246"/>
      <c r="G158" s="5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row>
    <row r="159" spans="1:255" s="312" customFormat="1" ht="36" x14ac:dyDescent="0.2">
      <c r="A159" s="101">
        <v>2</v>
      </c>
      <c r="B159" s="109" t="s">
        <v>755</v>
      </c>
      <c r="C159" s="102" t="s">
        <v>809</v>
      </c>
      <c r="D159" s="103" t="s">
        <v>427</v>
      </c>
      <c r="E159" s="104">
        <v>7.4880000000000004</v>
      </c>
      <c r="F159" s="247"/>
      <c r="G159" s="108"/>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row>
    <row r="160" spans="1:255" s="312" customFormat="1" ht="22.5" x14ac:dyDescent="0.2">
      <c r="A160" s="101">
        <v>3</v>
      </c>
      <c r="B160" s="109" t="s">
        <v>707</v>
      </c>
      <c r="C160" s="102" t="s">
        <v>774</v>
      </c>
      <c r="D160" s="103" t="s">
        <v>709</v>
      </c>
      <c r="E160" s="104">
        <v>191.54300000000001</v>
      </c>
      <c r="F160" s="247"/>
      <c r="G160" s="108"/>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row>
    <row r="161" spans="1:255" s="312" customFormat="1" ht="24" x14ac:dyDescent="0.2">
      <c r="A161" s="101">
        <v>4</v>
      </c>
      <c r="B161" s="109" t="s">
        <v>707</v>
      </c>
      <c r="C161" s="102" t="s">
        <v>810</v>
      </c>
      <c r="D161" s="103" t="s">
        <v>709</v>
      </c>
      <c r="E161" s="104">
        <v>39.744</v>
      </c>
      <c r="F161" s="247"/>
      <c r="G161" s="108"/>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row>
    <row r="162" spans="1:255" s="312" customFormat="1" ht="24" x14ac:dyDescent="0.2">
      <c r="A162" s="101">
        <v>5</v>
      </c>
      <c r="B162" s="109" t="s">
        <v>758</v>
      </c>
      <c r="C162" s="102" t="s">
        <v>759</v>
      </c>
      <c r="D162" s="103" t="s">
        <v>709</v>
      </c>
      <c r="E162" s="104">
        <v>77.12</v>
      </c>
      <c r="F162" s="247"/>
      <c r="G162" s="108"/>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row>
    <row r="163" spans="1:255" s="312" customFormat="1" ht="36" x14ac:dyDescent="0.2">
      <c r="A163" s="101">
        <v>6</v>
      </c>
      <c r="B163" s="109" t="s">
        <v>758</v>
      </c>
      <c r="C163" s="102" t="s">
        <v>811</v>
      </c>
      <c r="D163" s="103" t="s">
        <v>709</v>
      </c>
      <c r="E163" s="104">
        <v>7.4880000000000004</v>
      </c>
      <c r="F163" s="247"/>
      <c r="G163" s="108"/>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row>
    <row r="164" spans="1:255" s="312" customFormat="1" ht="24" x14ac:dyDescent="0.2">
      <c r="A164" s="101">
        <v>7</v>
      </c>
      <c r="B164" s="109" t="s">
        <v>812</v>
      </c>
      <c r="C164" s="102" t="s">
        <v>813</v>
      </c>
      <c r="D164" s="103" t="s">
        <v>709</v>
      </c>
      <c r="E164" s="104">
        <v>77.12</v>
      </c>
      <c r="F164" s="247"/>
      <c r="G164" s="108"/>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row>
    <row r="165" spans="1:255" s="312" customFormat="1" ht="24" x14ac:dyDescent="0.2">
      <c r="A165" s="101">
        <v>8</v>
      </c>
      <c r="B165" s="109" t="s">
        <v>760</v>
      </c>
      <c r="C165" s="102" t="s">
        <v>814</v>
      </c>
      <c r="D165" s="103" t="s">
        <v>709</v>
      </c>
      <c r="E165" s="104">
        <v>7.4880000000000004</v>
      </c>
      <c r="F165" s="247"/>
      <c r="G165" s="108"/>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row>
    <row r="166" spans="1:255" s="312" customFormat="1" ht="24" x14ac:dyDescent="0.2">
      <c r="A166" s="101">
        <v>9</v>
      </c>
      <c r="B166" s="109" t="s">
        <v>762</v>
      </c>
      <c r="C166" s="102" t="s">
        <v>763</v>
      </c>
      <c r="D166" s="103" t="s">
        <v>709</v>
      </c>
      <c r="E166" s="104">
        <v>191.54300000000001</v>
      </c>
      <c r="F166" s="247"/>
      <c r="G166" s="108"/>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row>
    <row r="167" spans="1:255" s="312" customFormat="1" ht="36" x14ac:dyDescent="0.2">
      <c r="A167" s="101">
        <v>10</v>
      </c>
      <c r="B167" s="109" t="s">
        <v>762</v>
      </c>
      <c r="C167" s="102" t="s">
        <v>815</v>
      </c>
      <c r="D167" s="103" t="s">
        <v>709</v>
      </c>
      <c r="E167" s="104">
        <v>39.744</v>
      </c>
      <c r="F167" s="247"/>
      <c r="G167" s="108"/>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row>
    <row r="168" spans="1:255" s="312" customFormat="1" ht="24" x14ac:dyDescent="0.2">
      <c r="A168" s="101">
        <v>11</v>
      </c>
      <c r="B168" s="109" t="s">
        <v>764</v>
      </c>
      <c r="C168" s="102" t="s">
        <v>765</v>
      </c>
      <c r="D168" s="103" t="s">
        <v>709</v>
      </c>
      <c r="E168" s="104">
        <v>191.54300000000001</v>
      </c>
      <c r="F168" s="247"/>
      <c r="G168" s="108"/>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row>
    <row r="169" spans="1:255" s="312" customFormat="1" ht="36" x14ac:dyDescent="0.2">
      <c r="A169" s="101">
        <v>12</v>
      </c>
      <c r="B169" s="109" t="s">
        <v>764</v>
      </c>
      <c r="C169" s="102" t="s">
        <v>816</v>
      </c>
      <c r="D169" s="103" t="s">
        <v>709</v>
      </c>
      <c r="E169" s="104">
        <v>39.744</v>
      </c>
      <c r="F169" s="247"/>
      <c r="G169" s="108"/>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row>
    <row r="170" spans="1:255" s="312" customFormat="1" ht="24" x14ac:dyDescent="0.2">
      <c r="A170" s="101">
        <v>13</v>
      </c>
      <c r="B170" s="109" t="s">
        <v>766</v>
      </c>
      <c r="C170" s="102" t="s">
        <v>817</v>
      </c>
      <c r="D170" s="103" t="s">
        <v>709</v>
      </c>
      <c r="E170" s="104">
        <v>39.744</v>
      </c>
      <c r="F170" s="247"/>
      <c r="G170" s="108"/>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row>
    <row r="171" spans="1:255" s="312" customFormat="1" ht="24" x14ac:dyDescent="0.2">
      <c r="A171" s="101">
        <v>14</v>
      </c>
      <c r="B171" s="109" t="s">
        <v>766</v>
      </c>
      <c r="C171" s="102" t="s">
        <v>818</v>
      </c>
      <c r="D171" s="103" t="s">
        <v>709</v>
      </c>
      <c r="E171" s="104">
        <v>11.847</v>
      </c>
      <c r="F171" s="247"/>
      <c r="G171" s="108"/>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row>
    <row r="172" spans="1:255" s="312" customFormat="1" ht="36" x14ac:dyDescent="0.2">
      <c r="A172" s="101">
        <v>15</v>
      </c>
      <c r="B172" s="109" t="s">
        <v>772</v>
      </c>
      <c r="C172" s="102" t="s">
        <v>773</v>
      </c>
      <c r="D172" s="103" t="s">
        <v>709</v>
      </c>
      <c r="E172" s="104">
        <v>77.12</v>
      </c>
      <c r="F172" s="247"/>
      <c r="G172" s="108"/>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row>
    <row r="173" spans="1:255" s="312" customFormat="1" ht="48" x14ac:dyDescent="0.2">
      <c r="A173" s="101">
        <v>16</v>
      </c>
      <c r="B173" s="109" t="s">
        <v>772</v>
      </c>
      <c r="C173" s="102" t="s">
        <v>819</v>
      </c>
      <c r="D173" s="103" t="s">
        <v>709</v>
      </c>
      <c r="E173" s="104">
        <v>7.4880000000000004</v>
      </c>
      <c r="F173" s="247"/>
      <c r="G173" s="108"/>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row>
    <row r="174" spans="1:255" s="312" customFormat="1" ht="24" x14ac:dyDescent="0.2">
      <c r="A174" s="101">
        <v>17</v>
      </c>
      <c r="B174" s="109" t="s">
        <v>707</v>
      </c>
      <c r="C174" s="102" t="s">
        <v>820</v>
      </c>
      <c r="D174" s="103" t="s">
        <v>709</v>
      </c>
      <c r="E174" s="104">
        <v>40</v>
      </c>
      <c r="F174" s="247"/>
      <c r="G174" s="108"/>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row>
    <row r="175" spans="1:255" s="312" customFormat="1" ht="24" x14ac:dyDescent="0.2">
      <c r="A175" s="101">
        <v>18</v>
      </c>
      <c r="B175" s="109" t="s">
        <v>707</v>
      </c>
      <c r="C175" s="102" t="s">
        <v>821</v>
      </c>
      <c r="D175" s="103" t="s">
        <v>709</v>
      </c>
      <c r="E175" s="104">
        <v>9.5169999999999995</v>
      </c>
      <c r="F175" s="247"/>
      <c r="G175" s="108"/>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row>
    <row r="176" spans="1:255" s="312" customFormat="1" ht="36" x14ac:dyDescent="0.2">
      <c r="A176" s="101">
        <v>19</v>
      </c>
      <c r="B176" s="109" t="s">
        <v>776</v>
      </c>
      <c r="C176" s="102" t="s">
        <v>777</v>
      </c>
      <c r="D176" s="103" t="s">
        <v>709</v>
      </c>
      <c r="E176" s="104">
        <v>77.12</v>
      </c>
      <c r="F176" s="247"/>
      <c r="G176" s="108"/>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row>
    <row r="177" spans="1:255" s="312" customFormat="1" ht="48" x14ac:dyDescent="0.2">
      <c r="A177" s="101">
        <v>20</v>
      </c>
      <c r="B177" s="109" t="s">
        <v>776</v>
      </c>
      <c r="C177" s="102" t="s">
        <v>822</v>
      </c>
      <c r="D177" s="103" t="s">
        <v>709</v>
      </c>
      <c r="E177" s="104">
        <v>7.4880000000000004</v>
      </c>
      <c r="F177" s="247"/>
      <c r="G177" s="108"/>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row>
    <row r="178" spans="1:255" s="312" customFormat="1" ht="48" x14ac:dyDescent="0.2">
      <c r="A178" s="101">
        <v>21</v>
      </c>
      <c r="B178" s="109" t="s">
        <v>778</v>
      </c>
      <c r="C178" s="102" t="s">
        <v>823</v>
      </c>
      <c r="D178" s="103" t="s">
        <v>709</v>
      </c>
      <c r="E178" s="104">
        <v>40</v>
      </c>
      <c r="F178" s="247"/>
      <c r="G178" s="108"/>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row>
    <row r="179" spans="1:255" s="312" customFormat="1" ht="36" x14ac:dyDescent="0.2">
      <c r="A179" s="101">
        <v>22</v>
      </c>
      <c r="B179" s="109" t="s">
        <v>778</v>
      </c>
      <c r="C179" s="102" t="s">
        <v>824</v>
      </c>
      <c r="D179" s="103" t="s">
        <v>709</v>
      </c>
      <c r="E179" s="104">
        <v>9.5169999999999995</v>
      </c>
      <c r="F179" s="247"/>
      <c r="G179" s="108"/>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row>
    <row r="180" spans="1:255" customFormat="1" ht="25.5" customHeight="1" thickBot="1" x14ac:dyDescent="0.25">
      <c r="A180" s="433" t="s">
        <v>614</v>
      </c>
      <c r="B180" s="433"/>
      <c r="C180" s="433"/>
      <c r="D180" s="433"/>
      <c r="E180" s="433"/>
      <c r="F180" s="433"/>
      <c r="G180" s="434"/>
      <c r="H180" s="311"/>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row>
    <row r="181" spans="1:255" s="312" customFormat="1" ht="45" x14ac:dyDescent="0.2">
      <c r="A181" s="52">
        <v>23</v>
      </c>
      <c r="B181" s="60" t="s">
        <v>784</v>
      </c>
      <c r="C181" s="53" t="s">
        <v>785</v>
      </c>
      <c r="D181" s="54" t="s">
        <v>786</v>
      </c>
      <c r="E181" s="55">
        <v>1.02</v>
      </c>
      <c r="F181" s="246"/>
      <c r="G181" s="5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row>
    <row r="182" spans="1:255" customFormat="1" ht="25.5" customHeight="1" thickBot="1" x14ac:dyDescent="0.25">
      <c r="A182" s="433" t="s">
        <v>619</v>
      </c>
      <c r="B182" s="433"/>
      <c r="C182" s="433"/>
      <c r="D182" s="433"/>
      <c r="E182" s="433"/>
      <c r="F182" s="433"/>
      <c r="G182" s="434"/>
      <c r="H182" s="311"/>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row>
    <row r="183" spans="1:255" s="312" customFormat="1" ht="22.5" x14ac:dyDescent="0.2">
      <c r="A183" s="52">
        <v>24</v>
      </c>
      <c r="B183" s="60" t="s">
        <v>611</v>
      </c>
      <c r="C183" s="53" t="s">
        <v>825</v>
      </c>
      <c r="D183" s="54" t="s">
        <v>612</v>
      </c>
      <c r="E183" s="55">
        <v>11.083</v>
      </c>
      <c r="F183" s="246"/>
      <c r="G183" s="5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row>
    <row r="184" spans="1:255" customFormat="1" ht="25.5" customHeight="1" thickBot="1" x14ac:dyDescent="0.25">
      <c r="A184" s="444" t="s">
        <v>620</v>
      </c>
      <c r="B184" s="444"/>
      <c r="C184" s="444"/>
      <c r="D184" s="444"/>
      <c r="E184" s="444"/>
      <c r="F184" s="444"/>
      <c r="G184" s="445"/>
      <c r="H184" s="311"/>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row>
    <row r="185" spans="1:255" s="312" customFormat="1" ht="45" x14ac:dyDescent="0.2">
      <c r="A185" s="52">
        <v>1</v>
      </c>
      <c r="B185" s="60" t="s">
        <v>826</v>
      </c>
      <c r="C185" s="53" t="s">
        <v>827</v>
      </c>
      <c r="D185" s="54" t="s">
        <v>828</v>
      </c>
      <c r="E185" s="55">
        <v>142.81</v>
      </c>
      <c r="F185" s="246"/>
      <c r="G185" s="5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row>
    <row r="186" spans="1:255" s="312" customFormat="1" ht="45" x14ac:dyDescent="0.2">
      <c r="A186" s="101">
        <v>2</v>
      </c>
      <c r="B186" s="109" t="s">
        <v>826</v>
      </c>
      <c r="C186" s="102" t="s">
        <v>827</v>
      </c>
      <c r="D186" s="103" t="s">
        <v>828</v>
      </c>
      <c r="E186" s="104">
        <v>42.664000000000001</v>
      </c>
      <c r="F186" s="247"/>
      <c r="G186" s="108"/>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row>
    <row r="187" spans="1:255" s="233" customFormat="1" x14ac:dyDescent="0.2">
      <c r="A187" s="101"/>
      <c r="B187" s="109"/>
      <c r="C187" s="243" t="s">
        <v>572</v>
      </c>
      <c r="D187" s="103"/>
      <c r="E187" s="104"/>
      <c r="F187" s="105"/>
      <c r="G187" s="302">
        <v>16535652.9</v>
      </c>
      <c r="H187" s="310"/>
    </row>
    <row r="188" spans="1:255" x14ac:dyDescent="0.3">
      <c r="A188" s="435" t="s">
        <v>829</v>
      </c>
      <c r="B188" s="435"/>
      <c r="C188" s="435"/>
      <c r="D188" s="435"/>
      <c r="E188" s="435"/>
      <c r="F188" s="435"/>
      <c r="G188" s="436"/>
    </row>
    <row r="189" spans="1:255" s="312" customFormat="1" ht="12.75" x14ac:dyDescent="0.2">
      <c r="A189" s="340"/>
      <c r="B189" s="341"/>
      <c r="C189" s="354" t="s">
        <v>613</v>
      </c>
      <c r="D189" s="343"/>
      <c r="E189" s="344"/>
      <c r="F189" s="345"/>
      <c r="G189" s="346"/>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row>
    <row r="190" spans="1:255" s="312" customFormat="1" ht="36" x14ac:dyDescent="0.2">
      <c r="A190" s="340">
        <v>1</v>
      </c>
      <c r="B190" s="341" t="s">
        <v>755</v>
      </c>
      <c r="C190" s="342" t="s">
        <v>830</v>
      </c>
      <c r="D190" s="343" t="s">
        <v>427</v>
      </c>
      <c r="E190" s="344">
        <v>0.04</v>
      </c>
      <c r="F190" s="345"/>
      <c r="G190" s="346"/>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row>
    <row r="191" spans="1:255" s="312" customFormat="1" ht="24" x14ac:dyDescent="0.2">
      <c r="A191" s="340">
        <v>2</v>
      </c>
      <c r="B191" s="341" t="s">
        <v>831</v>
      </c>
      <c r="C191" s="342" t="s">
        <v>757</v>
      </c>
      <c r="D191" s="343" t="s">
        <v>427</v>
      </c>
      <c r="E191" s="344">
        <v>0.05</v>
      </c>
      <c r="F191" s="345"/>
      <c r="G191" s="346"/>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row>
    <row r="192" spans="1:255" s="312" customFormat="1" ht="24" x14ac:dyDescent="0.2">
      <c r="A192" s="340">
        <v>3</v>
      </c>
      <c r="B192" s="341" t="s">
        <v>762</v>
      </c>
      <c r="C192" s="342" t="s">
        <v>763</v>
      </c>
      <c r="D192" s="343" t="s">
        <v>709</v>
      </c>
      <c r="E192" s="344">
        <v>0.77</v>
      </c>
      <c r="F192" s="345"/>
      <c r="G192" s="346"/>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row>
    <row r="193" spans="1:255" s="312" customFormat="1" ht="24" x14ac:dyDescent="0.2">
      <c r="A193" s="340">
        <v>4</v>
      </c>
      <c r="B193" s="341" t="s">
        <v>764</v>
      </c>
      <c r="C193" s="342" t="s">
        <v>765</v>
      </c>
      <c r="D193" s="343" t="s">
        <v>709</v>
      </c>
      <c r="E193" s="344">
        <v>0.77</v>
      </c>
      <c r="F193" s="345"/>
      <c r="G193" s="346"/>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row>
    <row r="194" spans="1:255" s="312" customFormat="1" ht="36" x14ac:dyDescent="0.2">
      <c r="A194" s="340">
        <v>5</v>
      </c>
      <c r="B194" s="341" t="s">
        <v>758</v>
      </c>
      <c r="C194" s="342" t="s">
        <v>832</v>
      </c>
      <c r="D194" s="343" t="s">
        <v>709</v>
      </c>
      <c r="E194" s="344">
        <v>0.04</v>
      </c>
      <c r="F194" s="345"/>
      <c r="G194" s="346"/>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row>
    <row r="195" spans="1:255" s="312" customFormat="1" ht="36" x14ac:dyDescent="0.2">
      <c r="A195" s="340">
        <v>6</v>
      </c>
      <c r="B195" s="341" t="s">
        <v>760</v>
      </c>
      <c r="C195" s="342" t="s">
        <v>833</v>
      </c>
      <c r="D195" s="343" t="s">
        <v>709</v>
      </c>
      <c r="E195" s="344">
        <v>0.04</v>
      </c>
      <c r="F195" s="345"/>
      <c r="G195" s="346"/>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row>
    <row r="196" spans="1:255" s="312" customFormat="1" ht="36" x14ac:dyDescent="0.2">
      <c r="A196" s="340">
        <v>7</v>
      </c>
      <c r="B196" s="341" t="s">
        <v>772</v>
      </c>
      <c r="C196" s="342" t="s">
        <v>834</v>
      </c>
      <c r="D196" s="343" t="s">
        <v>709</v>
      </c>
      <c r="E196" s="344">
        <v>0.23</v>
      </c>
      <c r="F196" s="345"/>
      <c r="G196" s="346"/>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row>
    <row r="197" spans="1:255" s="312" customFormat="1" ht="36" x14ac:dyDescent="0.2">
      <c r="A197" s="340">
        <v>8</v>
      </c>
      <c r="B197" s="341" t="s">
        <v>776</v>
      </c>
      <c r="C197" s="342" t="s">
        <v>777</v>
      </c>
      <c r="D197" s="343" t="s">
        <v>709</v>
      </c>
      <c r="E197" s="344">
        <v>0.75</v>
      </c>
      <c r="F197" s="345"/>
      <c r="G197" s="346"/>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row>
    <row r="198" spans="1:255" s="312" customFormat="1" ht="36" x14ac:dyDescent="0.2">
      <c r="A198" s="340">
        <v>9</v>
      </c>
      <c r="B198" s="341" t="s">
        <v>835</v>
      </c>
      <c r="C198" s="342" t="s">
        <v>836</v>
      </c>
      <c r="D198" s="343" t="s">
        <v>709</v>
      </c>
      <c r="E198" s="344">
        <v>0.19</v>
      </c>
      <c r="F198" s="345"/>
      <c r="G198" s="346"/>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row>
    <row r="199" spans="1:255" s="312" customFormat="1" ht="45" x14ac:dyDescent="0.2">
      <c r="A199" s="340">
        <v>10</v>
      </c>
      <c r="B199" s="341" t="s">
        <v>837</v>
      </c>
      <c r="C199" s="342" t="s">
        <v>838</v>
      </c>
      <c r="D199" s="343" t="s">
        <v>571</v>
      </c>
      <c r="E199" s="344">
        <v>1.446</v>
      </c>
      <c r="F199" s="345"/>
      <c r="G199" s="346"/>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row>
    <row r="200" spans="1:255" s="312" customFormat="1" ht="45" x14ac:dyDescent="0.2">
      <c r="A200" s="340">
        <v>11</v>
      </c>
      <c r="B200" s="341" t="s">
        <v>839</v>
      </c>
      <c r="C200" s="342" t="s">
        <v>840</v>
      </c>
      <c r="D200" s="343" t="s">
        <v>571</v>
      </c>
      <c r="E200" s="344">
        <v>26.184000000000001</v>
      </c>
      <c r="F200" s="345"/>
      <c r="G200" s="346"/>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row>
    <row r="201" spans="1:255" s="312" customFormat="1" ht="48" x14ac:dyDescent="0.2">
      <c r="A201" s="340">
        <v>12</v>
      </c>
      <c r="B201" s="341" t="s">
        <v>841</v>
      </c>
      <c r="C201" s="342" t="s">
        <v>842</v>
      </c>
      <c r="D201" s="343" t="s">
        <v>709</v>
      </c>
      <c r="E201" s="344">
        <v>0.45</v>
      </c>
      <c r="F201" s="345"/>
      <c r="G201" s="346"/>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row>
    <row r="202" spans="1:255" s="312" customFormat="1" ht="36" x14ac:dyDescent="0.2">
      <c r="A202" s="340">
        <v>13</v>
      </c>
      <c r="B202" s="341" t="s">
        <v>772</v>
      </c>
      <c r="C202" s="342" t="s">
        <v>843</v>
      </c>
      <c r="D202" s="343" t="s">
        <v>709</v>
      </c>
      <c r="E202" s="344">
        <v>1.3140000000000001</v>
      </c>
      <c r="F202" s="345"/>
      <c r="G202" s="346"/>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row>
    <row r="203" spans="1:255" s="312" customFormat="1" ht="36" x14ac:dyDescent="0.2">
      <c r="A203" s="340">
        <v>14</v>
      </c>
      <c r="B203" s="341" t="s">
        <v>778</v>
      </c>
      <c r="C203" s="342" t="s">
        <v>779</v>
      </c>
      <c r="D203" s="343" t="s">
        <v>709</v>
      </c>
      <c r="E203" s="344">
        <v>1.19</v>
      </c>
      <c r="F203" s="345"/>
      <c r="G203" s="346"/>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row>
    <row r="204" spans="1:255" s="312" customFormat="1" ht="12.75" x14ac:dyDescent="0.2">
      <c r="A204" s="340"/>
      <c r="B204" s="341"/>
      <c r="C204" s="354" t="s">
        <v>615</v>
      </c>
      <c r="D204" s="343"/>
      <c r="E204" s="344"/>
      <c r="F204" s="345"/>
      <c r="G204" s="346"/>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row>
    <row r="205" spans="1:255" s="312" customFormat="1" ht="48" x14ac:dyDescent="0.2">
      <c r="A205" s="340">
        <v>1</v>
      </c>
      <c r="B205" s="341" t="s">
        <v>844</v>
      </c>
      <c r="C205" s="342" t="s">
        <v>845</v>
      </c>
      <c r="D205" s="343" t="s">
        <v>789</v>
      </c>
      <c r="E205" s="344">
        <v>0.40600000000000003</v>
      </c>
      <c r="F205" s="345"/>
      <c r="G205" s="346"/>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row>
    <row r="206" spans="1:255" s="233" customFormat="1" ht="17.25" thickBot="1" x14ac:dyDescent="0.25">
      <c r="A206" s="347"/>
      <c r="B206" s="348"/>
      <c r="C206" s="349" t="s">
        <v>572</v>
      </c>
      <c r="D206" s="350"/>
      <c r="E206" s="351"/>
      <c r="F206" s="352"/>
      <c r="G206" s="353">
        <v>227012.7</v>
      </c>
      <c r="H206" s="310"/>
    </row>
    <row r="207" spans="1:255" ht="17.25" thickBot="1" x14ac:dyDescent="0.35">
      <c r="A207" s="437" t="s">
        <v>675</v>
      </c>
      <c r="B207" s="437"/>
      <c r="C207" s="437"/>
      <c r="D207" s="437"/>
      <c r="E207" s="437"/>
      <c r="F207" s="437"/>
      <c r="G207" s="438"/>
    </row>
    <row r="208" spans="1:255" s="312" customFormat="1" ht="12.75" customHeight="1" x14ac:dyDescent="0.2">
      <c r="A208" s="52"/>
      <c r="B208" s="60"/>
      <c r="C208" s="440" t="s">
        <v>676</v>
      </c>
      <c r="D208" s="440"/>
      <c r="E208" s="440"/>
      <c r="F208" s="440"/>
      <c r="G208" s="440"/>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row>
    <row r="209" spans="1:255" s="312" customFormat="1" ht="48" x14ac:dyDescent="0.2">
      <c r="A209" s="101">
        <v>19</v>
      </c>
      <c r="B209" s="109" t="s">
        <v>621</v>
      </c>
      <c r="C209" s="102" t="s">
        <v>677</v>
      </c>
      <c r="D209" s="103" t="s">
        <v>606</v>
      </c>
      <c r="E209" s="104">
        <v>12.5556</v>
      </c>
      <c r="F209" s="247"/>
      <c r="G209" s="108"/>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row>
    <row r="210" spans="1:255" s="312" customFormat="1" ht="22.5" x14ac:dyDescent="0.2">
      <c r="A210" s="101">
        <v>20</v>
      </c>
      <c r="B210" s="109" t="s">
        <v>622</v>
      </c>
      <c r="C210" s="102" t="s">
        <v>623</v>
      </c>
      <c r="D210" s="103" t="s">
        <v>612</v>
      </c>
      <c r="E210" s="337">
        <v>8.9858666666666664</v>
      </c>
      <c r="F210" s="247"/>
      <c r="G210" s="108"/>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row>
    <row r="211" spans="1:255" s="312" customFormat="1" ht="45" x14ac:dyDescent="0.2">
      <c r="A211" s="101">
        <v>21</v>
      </c>
      <c r="B211" s="109" t="s">
        <v>624</v>
      </c>
      <c r="C211" s="102" t="s">
        <v>625</v>
      </c>
      <c r="D211" s="103" t="s">
        <v>610</v>
      </c>
      <c r="E211" s="335">
        <f>0.65/3*2</f>
        <v>0.43333333333333335</v>
      </c>
      <c r="F211" s="247"/>
      <c r="G211" s="108"/>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row>
    <row r="212" spans="1:255" s="312" customFormat="1" ht="48" x14ac:dyDescent="0.2">
      <c r="A212" s="101">
        <v>22</v>
      </c>
      <c r="B212" s="109" t="s">
        <v>626</v>
      </c>
      <c r="C212" s="102" t="s">
        <v>678</v>
      </c>
      <c r="D212" s="103" t="s">
        <v>599</v>
      </c>
      <c r="E212" s="338">
        <v>4.1333333333333337</v>
      </c>
      <c r="F212" s="247"/>
      <c r="G212" s="108"/>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row>
    <row r="213" spans="1:255" s="312" customFormat="1" ht="36" x14ac:dyDescent="0.2">
      <c r="A213" s="101">
        <v>23</v>
      </c>
      <c r="B213" s="109" t="s">
        <v>627</v>
      </c>
      <c r="C213" s="102" t="s">
        <v>628</v>
      </c>
      <c r="D213" s="103" t="s">
        <v>629</v>
      </c>
      <c r="E213" s="104">
        <v>4.9820000000000002</v>
      </c>
      <c r="F213" s="247"/>
      <c r="G213" s="108"/>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row>
    <row r="214" spans="1:255" s="312" customFormat="1" ht="22.5" x14ac:dyDescent="0.2">
      <c r="A214" s="101">
        <v>24</v>
      </c>
      <c r="B214" s="109" t="s">
        <v>611</v>
      </c>
      <c r="C214" s="102" t="s">
        <v>630</v>
      </c>
      <c r="D214" s="103" t="s">
        <v>612</v>
      </c>
      <c r="E214" s="337">
        <v>27.691733333333332</v>
      </c>
      <c r="F214" s="247"/>
      <c r="G214" s="108"/>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row>
    <row r="215" spans="1:255" s="312" customFormat="1" ht="24" x14ac:dyDescent="0.2">
      <c r="A215" s="101">
        <v>25</v>
      </c>
      <c r="B215" s="109" t="s">
        <v>611</v>
      </c>
      <c r="C215" s="102" t="s">
        <v>631</v>
      </c>
      <c r="D215" s="103" t="s">
        <v>612</v>
      </c>
      <c r="E215" s="335">
        <f>40.6104/3*2</f>
        <v>27.073599999999999</v>
      </c>
      <c r="F215" s="247"/>
      <c r="G215" s="108"/>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row>
    <row r="216" spans="1:255" s="312" customFormat="1" ht="24" x14ac:dyDescent="0.2">
      <c r="A216" s="101">
        <v>26</v>
      </c>
      <c r="B216" s="109" t="s">
        <v>611</v>
      </c>
      <c r="C216" s="102" t="s">
        <v>632</v>
      </c>
      <c r="D216" s="103" t="s">
        <v>612</v>
      </c>
      <c r="E216" s="337">
        <v>1.7695999999999998</v>
      </c>
      <c r="F216" s="247"/>
      <c r="G216" s="108"/>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row>
    <row r="217" spans="1:255" s="312" customFormat="1" ht="36" x14ac:dyDescent="0.2">
      <c r="A217" s="101">
        <v>27</v>
      </c>
      <c r="B217" s="109" t="s">
        <v>633</v>
      </c>
      <c r="C217" s="102" t="s">
        <v>679</v>
      </c>
      <c r="D217" s="103" t="s">
        <v>427</v>
      </c>
      <c r="E217" s="337">
        <v>0.40329999999999999</v>
      </c>
      <c r="F217" s="247"/>
      <c r="G217" s="108"/>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row>
    <row r="218" spans="1:255" s="312" customFormat="1" ht="33.75" x14ac:dyDescent="0.2">
      <c r="A218" s="101">
        <v>28</v>
      </c>
      <c r="B218" s="109" t="s">
        <v>634</v>
      </c>
      <c r="C218" s="102" t="s">
        <v>635</v>
      </c>
      <c r="D218" s="103" t="s">
        <v>607</v>
      </c>
      <c r="E218" s="338">
        <v>0.21199999999999999</v>
      </c>
      <c r="F218" s="247"/>
      <c r="G218" s="108"/>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row>
    <row r="219" spans="1:255" s="312" customFormat="1" ht="48" x14ac:dyDescent="0.2">
      <c r="A219" s="101">
        <v>29</v>
      </c>
      <c r="B219" s="109" t="s">
        <v>621</v>
      </c>
      <c r="C219" s="102" t="s">
        <v>680</v>
      </c>
      <c r="D219" s="103" t="s">
        <v>606</v>
      </c>
      <c r="E219" s="338">
        <v>2.9260000000000002</v>
      </c>
      <c r="F219" s="247"/>
      <c r="G219" s="108"/>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row>
    <row r="220" spans="1:255" s="233" customFormat="1" x14ac:dyDescent="0.2">
      <c r="A220" s="101"/>
      <c r="B220" s="109"/>
      <c r="C220" s="243" t="s">
        <v>572</v>
      </c>
      <c r="D220" s="103"/>
      <c r="E220" s="104"/>
      <c r="F220" s="105"/>
      <c r="G220" s="302">
        <v>1314728.1000000001</v>
      </c>
      <c r="H220" s="310"/>
    </row>
    <row r="221" spans="1:255" ht="17.25" thickBot="1" x14ac:dyDescent="0.35">
      <c r="A221" s="435" t="s">
        <v>846</v>
      </c>
      <c r="B221" s="435"/>
      <c r="C221" s="435"/>
      <c r="D221" s="435"/>
      <c r="E221" s="435"/>
      <c r="F221" s="435"/>
      <c r="G221" s="436"/>
    </row>
    <row r="222" spans="1:255" s="312" customFormat="1" ht="22.5" x14ac:dyDescent="0.2">
      <c r="A222" s="52">
        <v>1</v>
      </c>
      <c r="B222" s="60" t="s">
        <v>847</v>
      </c>
      <c r="C222" s="53" t="s">
        <v>848</v>
      </c>
      <c r="D222" s="54" t="s">
        <v>849</v>
      </c>
      <c r="E222" s="55">
        <v>36.299999999999997</v>
      </c>
      <c r="F222" s="246"/>
      <c r="G222" s="59"/>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row>
    <row r="223" spans="1:255" s="233" customFormat="1" x14ac:dyDescent="0.2">
      <c r="A223" s="101"/>
      <c r="B223" s="109"/>
      <c r="C223" s="243" t="s">
        <v>572</v>
      </c>
      <c r="D223" s="103"/>
      <c r="E223" s="104"/>
      <c r="F223" s="105"/>
      <c r="G223" s="302">
        <v>68833.8</v>
      </c>
      <c r="H223" s="310"/>
    </row>
    <row r="224" spans="1:255" ht="17.25" thickBot="1" x14ac:dyDescent="0.35">
      <c r="A224" s="435" t="s">
        <v>852</v>
      </c>
      <c r="B224" s="435"/>
      <c r="C224" s="435"/>
      <c r="D224" s="435"/>
      <c r="E224" s="435"/>
      <c r="F224" s="435"/>
      <c r="G224" s="436"/>
    </row>
    <row r="225" spans="1:255" s="312" customFormat="1" ht="12.75" customHeight="1" x14ac:dyDescent="0.2">
      <c r="A225" s="52"/>
      <c r="B225" s="60"/>
      <c r="C225" s="440" t="s">
        <v>853</v>
      </c>
      <c r="D225" s="440"/>
      <c r="E225" s="440"/>
      <c r="F225" s="440"/>
      <c r="G225" s="440"/>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row>
    <row r="226" spans="1:255" s="312" customFormat="1" ht="12.75" x14ac:dyDescent="0.2">
      <c r="A226" s="101"/>
      <c r="B226" s="109"/>
      <c r="C226" s="440" t="s">
        <v>854</v>
      </c>
      <c r="D226" s="440"/>
      <c r="E226" s="440"/>
      <c r="F226" s="440"/>
      <c r="G226" s="440"/>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row>
    <row r="227" spans="1:255" s="312" customFormat="1" ht="24" x14ac:dyDescent="0.2">
      <c r="A227" s="101">
        <v>8</v>
      </c>
      <c r="B227" s="109" t="s">
        <v>855</v>
      </c>
      <c r="C227" s="102" t="s">
        <v>856</v>
      </c>
      <c r="D227" s="103" t="s">
        <v>709</v>
      </c>
      <c r="E227" s="337">
        <v>0.1095</v>
      </c>
      <c r="F227" s="247"/>
      <c r="G227" s="108"/>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row>
    <row r="228" spans="1:255" s="312" customFormat="1" ht="24" x14ac:dyDescent="0.2">
      <c r="A228" s="101">
        <v>9</v>
      </c>
      <c r="B228" s="109" t="s">
        <v>857</v>
      </c>
      <c r="C228" s="102" t="s">
        <v>858</v>
      </c>
      <c r="D228" s="103" t="s">
        <v>859</v>
      </c>
      <c r="E228" s="338">
        <v>10.95</v>
      </c>
      <c r="F228" s="247"/>
      <c r="G228" s="108"/>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row>
    <row r="229" spans="1:255" s="312" customFormat="1" ht="24" x14ac:dyDescent="0.2">
      <c r="A229" s="101">
        <v>10</v>
      </c>
      <c r="B229" s="109" t="s">
        <v>860</v>
      </c>
      <c r="C229" s="102" t="s">
        <v>861</v>
      </c>
      <c r="D229" s="103" t="s">
        <v>859</v>
      </c>
      <c r="E229" s="104">
        <v>-10.95</v>
      </c>
      <c r="F229" s="247"/>
      <c r="G229" s="108"/>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row>
    <row r="230" spans="1:255" s="312" customFormat="1" ht="12.75" x14ac:dyDescent="0.2">
      <c r="A230" s="101"/>
      <c r="B230" s="109"/>
      <c r="C230" s="355" t="s">
        <v>862</v>
      </c>
      <c r="D230" s="103"/>
      <c r="E230" s="337"/>
      <c r="F230" s="247"/>
      <c r="G230" s="108"/>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row>
    <row r="231" spans="1:255" s="312" customFormat="1" ht="22.5" x14ac:dyDescent="0.2">
      <c r="A231" s="101">
        <v>11</v>
      </c>
      <c r="B231" s="109" t="s">
        <v>723</v>
      </c>
      <c r="C231" s="102" t="s">
        <v>724</v>
      </c>
      <c r="D231" s="103" t="s">
        <v>720</v>
      </c>
      <c r="E231" s="338">
        <v>0.125</v>
      </c>
      <c r="F231" s="247"/>
      <c r="G231" s="108"/>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row>
    <row r="232" spans="1:255" s="312" customFormat="1" ht="24" x14ac:dyDescent="0.2">
      <c r="A232" s="101">
        <v>12</v>
      </c>
      <c r="B232" s="109" t="s">
        <v>725</v>
      </c>
      <c r="C232" s="102" t="s">
        <v>726</v>
      </c>
      <c r="D232" s="103" t="s">
        <v>720</v>
      </c>
      <c r="E232" s="338">
        <v>0.125</v>
      </c>
      <c r="F232" s="247"/>
      <c r="G232" s="108"/>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row>
    <row r="233" spans="1:255" s="312" customFormat="1" ht="48" x14ac:dyDescent="0.2">
      <c r="A233" s="101">
        <v>13</v>
      </c>
      <c r="B233" s="109" t="s">
        <v>734</v>
      </c>
      <c r="C233" s="102" t="s">
        <v>735</v>
      </c>
      <c r="D233" s="103" t="s">
        <v>427</v>
      </c>
      <c r="E233" s="338">
        <v>0.125</v>
      </c>
      <c r="F233" s="247"/>
      <c r="G233" s="108"/>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row>
    <row r="234" spans="1:255" s="312" customFormat="1" ht="13.5" thickBot="1" x14ac:dyDescent="0.25">
      <c r="A234" s="101"/>
      <c r="B234" s="109"/>
      <c r="C234" s="440" t="s">
        <v>863</v>
      </c>
      <c r="D234" s="440"/>
      <c r="E234" s="440"/>
      <c r="F234" s="440"/>
      <c r="G234" s="440"/>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row>
    <row r="235" spans="1:255" s="312" customFormat="1" ht="36" x14ac:dyDescent="0.2">
      <c r="A235" s="52">
        <v>14</v>
      </c>
      <c r="B235" s="60" t="s">
        <v>864</v>
      </c>
      <c r="C235" s="53" t="s">
        <v>865</v>
      </c>
      <c r="D235" s="54" t="s">
        <v>866</v>
      </c>
      <c r="E235" s="55">
        <v>0.105</v>
      </c>
      <c r="F235" s="247"/>
      <c r="G235" s="108"/>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row>
    <row r="236" spans="1:255" s="312" customFormat="1" ht="45" x14ac:dyDescent="0.2">
      <c r="A236" s="101">
        <v>15</v>
      </c>
      <c r="B236" s="109" t="s">
        <v>867</v>
      </c>
      <c r="C236" s="102" t="s">
        <v>868</v>
      </c>
      <c r="D236" s="103" t="s">
        <v>789</v>
      </c>
      <c r="E236" s="104">
        <v>1.575E-2</v>
      </c>
      <c r="F236" s="247"/>
      <c r="G236" s="108"/>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row>
    <row r="237" spans="1:255" s="312" customFormat="1" ht="12.75" x14ac:dyDescent="0.2">
      <c r="A237" s="101"/>
      <c r="B237" s="109"/>
      <c r="C237" s="440" t="s">
        <v>869</v>
      </c>
      <c r="D237" s="440"/>
      <c r="E237" s="440"/>
      <c r="F237" s="440"/>
      <c r="G237" s="440"/>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row>
    <row r="238" spans="1:255" s="312" customFormat="1" ht="24" x14ac:dyDescent="0.2">
      <c r="A238" s="101">
        <v>18</v>
      </c>
      <c r="B238" s="109" t="s">
        <v>831</v>
      </c>
      <c r="C238" s="102" t="s">
        <v>757</v>
      </c>
      <c r="D238" s="103" t="s">
        <v>427</v>
      </c>
      <c r="E238" s="104">
        <v>7.4999999999999997E-2</v>
      </c>
      <c r="F238" s="247"/>
      <c r="G238" s="108"/>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row>
    <row r="239" spans="1:255" s="312" customFormat="1" ht="36" x14ac:dyDescent="0.2">
      <c r="A239" s="101">
        <v>19</v>
      </c>
      <c r="B239" s="109" t="s">
        <v>870</v>
      </c>
      <c r="C239" s="102" t="s">
        <v>871</v>
      </c>
      <c r="D239" s="103" t="s">
        <v>709</v>
      </c>
      <c r="E239" s="104">
        <v>0.16600000000000001</v>
      </c>
      <c r="F239" s="247"/>
      <c r="G239" s="108"/>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row>
    <row r="240" spans="1:255" s="312" customFormat="1" ht="12.75" x14ac:dyDescent="0.2">
      <c r="A240" s="101"/>
      <c r="B240" s="109"/>
      <c r="C240" s="440" t="s">
        <v>872</v>
      </c>
      <c r="D240" s="440"/>
      <c r="E240" s="440"/>
      <c r="F240" s="440"/>
      <c r="G240" s="440"/>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row>
    <row r="241" spans="1:255" s="312" customFormat="1" ht="13.5" thickBot="1" x14ac:dyDescent="0.25">
      <c r="A241" s="101"/>
      <c r="B241" s="109"/>
      <c r="C241" s="440" t="s">
        <v>854</v>
      </c>
      <c r="D241" s="440"/>
      <c r="E241" s="440"/>
      <c r="F241" s="440"/>
      <c r="G241" s="440"/>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row>
    <row r="242" spans="1:255" s="312" customFormat="1" ht="24" x14ac:dyDescent="0.2">
      <c r="A242" s="52">
        <v>29</v>
      </c>
      <c r="B242" s="60" t="s">
        <v>855</v>
      </c>
      <c r="C242" s="53" t="s">
        <v>856</v>
      </c>
      <c r="D242" s="54" t="s">
        <v>709</v>
      </c>
      <c r="E242" s="55">
        <v>0.1095</v>
      </c>
      <c r="F242" s="247"/>
      <c r="G242" s="108"/>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row>
    <row r="243" spans="1:255" s="312" customFormat="1" ht="24" x14ac:dyDescent="0.2">
      <c r="A243" s="101">
        <v>30</v>
      </c>
      <c r="B243" s="109" t="s">
        <v>857</v>
      </c>
      <c r="C243" s="102" t="s">
        <v>858</v>
      </c>
      <c r="D243" s="103" t="s">
        <v>859</v>
      </c>
      <c r="E243" s="104">
        <v>10.95</v>
      </c>
      <c r="F243" s="247"/>
      <c r="G243" s="108"/>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row>
    <row r="244" spans="1:255" s="312" customFormat="1" ht="24" x14ac:dyDescent="0.2">
      <c r="A244" s="101">
        <v>31</v>
      </c>
      <c r="B244" s="109" t="s">
        <v>860</v>
      </c>
      <c r="C244" s="102" t="s">
        <v>861</v>
      </c>
      <c r="D244" s="103" t="s">
        <v>859</v>
      </c>
      <c r="E244" s="104">
        <v>-10.95</v>
      </c>
      <c r="F244" s="247"/>
      <c r="G244" s="108"/>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row>
    <row r="245" spans="1:255" s="312" customFormat="1" ht="13.5" thickBot="1" x14ac:dyDescent="0.25">
      <c r="A245" s="101"/>
      <c r="B245" s="109"/>
      <c r="C245" s="355" t="s">
        <v>862</v>
      </c>
      <c r="D245" s="103"/>
      <c r="E245" s="337"/>
      <c r="F245" s="247"/>
      <c r="G245" s="108"/>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row>
    <row r="246" spans="1:255" s="312" customFormat="1" ht="22.5" x14ac:dyDescent="0.2">
      <c r="A246" s="52">
        <v>32</v>
      </c>
      <c r="B246" s="60" t="s">
        <v>723</v>
      </c>
      <c r="C246" s="53" t="s">
        <v>724</v>
      </c>
      <c r="D246" s="54" t="s">
        <v>720</v>
      </c>
      <c r="E246" s="55">
        <v>0.125</v>
      </c>
      <c r="F246" s="247"/>
      <c r="G246" s="108"/>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row>
    <row r="247" spans="1:255" s="312" customFormat="1" ht="24" x14ac:dyDescent="0.2">
      <c r="A247" s="101">
        <v>33</v>
      </c>
      <c r="B247" s="109" t="s">
        <v>725</v>
      </c>
      <c r="C247" s="102" t="s">
        <v>726</v>
      </c>
      <c r="D247" s="103" t="s">
        <v>720</v>
      </c>
      <c r="E247" s="104">
        <v>0.125</v>
      </c>
      <c r="F247" s="247"/>
      <c r="G247" s="108"/>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row>
    <row r="248" spans="1:255" s="312" customFormat="1" ht="48" x14ac:dyDescent="0.2">
      <c r="A248" s="101">
        <v>34</v>
      </c>
      <c r="B248" s="109" t="s">
        <v>734</v>
      </c>
      <c r="C248" s="102" t="s">
        <v>735</v>
      </c>
      <c r="D248" s="103" t="s">
        <v>427</v>
      </c>
      <c r="E248" s="104">
        <v>0.125</v>
      </c>
      <c r="F248" s="247"/>
      <c r="G248" s="108"/>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row>
    <row r="249" spans="1:255" s="312" customFormat="1" ht="13.5" thickBot="1" x14ac:dyDescent="0.25">
      <c r="A249" s="101"/>
      <c r="B249" s="109"/>
      <c r="C249" s="440" t="s">
        <v>863</v>
      </c>
      <c r="D249" s="440"/>
      <c r="E249" s="440"/>
      <c r="F249" s="440"/>
      <c r="G249" s="440"/>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row>
    <row r="250" spans="1:255" s="312" customFormat="1" ht="36" x14ac:dyDescent="0.2">
      <c r="A250" s="52">
        <v>35</v>
      </c>
      <c r="B250" s="60" t="s">
        <v>864</v>
      </c>
      <c r="C250" s="53" t="s">
        <v>865</v>
      </c>
      <c r="D250" s="54" t="s">
        <v>866</v>
      </c>
      <c r="E250" s="55">
        <v>0.09</v>
      </c>
      <c r="F250" s="247"/>
      <c r="G250" s="108"/>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row>
    <row r="251" spans="1:255" s="312" customFormat="1" ht="45" x14ac:dyDescent="0.2">
      <c r="A251" s="101">
        <v>36</v>
      </c>
      <c r="B251" s="109" t="s">
        <v>867</v>
      </c>
      <c r="C251" s="102" t="s">
        <v>868</v>
      </c>
      <c r="D251" s="103" t="s">
        <v>789</v>
      </c>
      <c r="E251" s="104">
        <v>1.35E-2</v>
      </c>
      <c r="F251" s="247"/>
      <c r="G251" s="108"/>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row>
    <row r="252" spans="1:255" s="312" customFormat="1" ht="12.75" x14ac:dyDescent="0.2">
      <c r="A252" s="101"/>
      <c r="B252" s="109"/>
      <c r="C252" s="440" t="s">
        <v>869</v>
      </c>
      <c r="D252" s="440"/>
      <c r="E252" s="440"/>
      <c r="F252" s="440"/>
      <c r="G252" s="440"/>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row>
    <row r="253" spans="1:255" s="312" customFormat="1" ht="24" x14ac:dyDescent="0.2">
      <c r="A253" s="101">
        <v>39</v>
      </c>
      <c r="B253" s="109" t="s">
        <v>831</v>
      </c>
      <c r="C253" s="102" t="s">
        <v>757</v>
      </c>
      <c r="D253" s="103" t="s">
        <v>427</v>
      </c>
      <c r="E253" s="104">
        <v>7.4999999999999997E-2</v>
      </c>
      <c r="F253" s="247"/>
      <c r="G253" s="108"/>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row>
    <row r="254" spans="1:255" s="312" customFormat="1" ht="36" x14ac:dyDescent="0.2">
      <c r="A254" s="101">
        <v>40</v>
      </c>
      <c r="B254" s="109" t="s">
        <v>870</v>
      </c>
      <c r="C254" s="102" t="s">
        <v>871</v>
      </c>
      <c r="D254" s="103" t="s">
        <v>709</v>
      </c>
      <c r="E254" s="104">
        <v>0.16600000000000001</v>
      </c>
      <c r="F254" s="247"/>
      <c r="G254" s="108"/>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row>
    <row r="255" spans="1:255" s="233" customFormat="1" x14ac:dyDescent="0.2">
      <c r="A255" s="101"/>
      <c r="B255" s="109"/>
      <c r="C255" s="243" t="s">
        <v>572</v>
      </c>
      <c r="D255" s="103"/>
      <c r="E255" s="104"/>
      <c r="F255" s="105"/>
      <c r="G255" s="302">
        <v>108099.6</v>
      </c>
      <c r="H255" s="310"/>
    </row>
    <row r="256" spans="1:255" ht="17.25" thickBot="1" x14ac:dyDescent="0.35">
      <c r="A256" s="437"/>
      <c r="B256" s="437"/>
      <c r="C256" s="437"/>
      <c r="D256" s="437"/>
      <c r="E256" s="437"/>
      <c r="F256" s="437"/>
      <c r="G256" s="438"/>
    </row>
    <row r="257" spans="1:7" ht="17.25" thickBot="1" x14ac:dyDescent="0.35">
      <c r="A257" s="328"/>
      <c r="B257" s="328"/>
      <c r="C257" s="422" t="s">
        <v>665</v>
      </c>
      <c r="D257" s="423"/>
      <c r="E257" s="423"/>
      <c r="F257" s="423"/>
      <c r="G257" s="327">
        <f>G19+G31+G44+G58+G109+G150+G187+G206+G220+G223+G255</f>
        <v>31453182.300000004</v>
      </c>
    </row>
    <row r="258" spans="1:7" x14ac:dyDescent="0.3">
      <c r="C258" s="326"/>
      <c r="G258" s="303"/>
    </row>
    <row r="259" spans="1:7" x14ac:dyDescent="0.3">
      <c r="A259" s="312"/>
      <c r="B259" s="313" t="s">
        <v>874</v>
      </c>
      <c r="C259" s="312"/>
      <c r="D259" s="312"/>
      <c r="E259" s="312"/>
    </row>
    <row r="260" spans="1:7" ht="42" customHeight="1" x14ac:dyDescent="0.3">
      <c r="A260" s="312"/>
      <c r="B260" s="430" t="s">
        <v>875</v>
      </c>
      <c r="C260" s="430"/>
      <c r="D260" s="430"/>
      <c r="E260" s="430"/>
      <c r="F260" s="430"/>
      <c r="G260" s="430"/>
    </row>
    <row r="261" spans="1:7" x14ac:dyDescent="0.3">
      <c r="A261" s="312"/>
      <c r="B261" s="446" t="s">
        <v>850</v>
      </c>
      <c r="C261" s="446"/>
      <c r="D261" s="446"/>
      <c r="E261" s="314"/>
    </row>
    <row r="262" spans="1:7" x14ac:dyDescent="0.3">
      <c r="A262" s="312"/>
      <c r="B262" s="315" t="s">
        <v>636</v>
      </c>
      <c r="C262" s="315"/>
      <c r="D262" s="315"/>
      <c r="E262" s="314"/>
    </row>
    <row r="263" spans="1:7" x14ac:dyDescent="0.3">
      <c r="B263" s="315" t="s">
        <v>637</v>
      </c>
      <c r="C263" s="316"/>
      <c r="D263" s="316"/>
      <c r="E263" s="317"/>
    </row>
    <row r="264" spans="1:7" x14ac:dyDescent="0.3">
      <c r="B264" s="315" t="s">
        <v>638</v>
      </c>
      <c r="C264" s="316"/>
      <c r="D264" s="316"/>
      <c r="E264" s="317"/>
    </row>
    <row r="265" spans="1:7" x14ac:dyDescent="0.3">
      <c r="B265" s="315" t="s">
        <v>639</v>
      </c>
      <c r="C265" s="316"/>
      <c r="D265" s="316"/>
      <c r="E265" s="317"/>
    </row>
    <row r="266" spans="1:7" ht="30.75" customHeight="1" x14ac:dyDescent="0.3">
      <c r="B266" s="447" t="s">
        <v>640</v>
      </c>
      <c r="C266" s="447"/>
      <c r="D266" s="447"/>
      <c r="E266" s="447"/>
    </row>
    <row r="267" spans="1:7" x14ac:dyDescent="0.3">
      <c r="B267" s="315" t="s">
        <v>641</v>
      </c>
      <c r="C267" s="316"/>
      <c r="D267" s="316"/>
      <c r="E267" s="317"/>
    </row>
    <row r="268" spans="1:7" x14ac:dyDescent="0.3">
      <c r="B268" s="315" t="s">
        <v>642</v>
      </c>
      <c r="C268" s="316"/>
      <c r="D268" s="316"/>
      <c r="E268" s="317"/>
    </row>
    <row r="269" spans="1:7" x14ac:dyDescent="0.3">
      <c r="B269" s="329" t="s">
        <v>662</v>
      </c>
      <c r="C269" s="316"/>
      <c r="D269" s="316"/>
      <c r="E269" s="317"/>
    </row>
    <row r="270" spans="1:7" x14ac:dyDescent="0.3">
      <c r="B270" s="315" t="s">
        <v>643</v>
      </c>
      <c r="C270" s="316"/>
      <c r="D270" s="316"/>
      <c r="E270" s="317"/>
    </row>
    <row r="271" spans="1:7" ht="33" customHeight="1" x14ac:dyDescent="0.3">
      <c r="A271" s="498"/>
      <c r="B271" s="499" t="s">
        <v>876</v>
      </c>
      <c r="C271" s="499"/>
      <c r="D271" s="499"/>
      <c r="E271" s="499"/>
      <c r="F271" s="499"/>
    </row>
    <row r="272" spans="1:7" ht="33" customHeight="1" x14ac:dyDescent="0.3">
      <c r="A272" s="498"/>
      <c r="B272" s="499" t="s">
        <v>877</v>
      </c>
      <c r="C272" s="499"/>
      <c r="D272" s="499"/>
      <c r="E272" s="499"/>
      <c r="F272" s="499"/>
    </row>
    <row r="273" spans="1:7" s="332" customFormat="1" ht="67.5" customHeight="1" x14ac:dyDescent="0.3">
      <c r="A273" s="500"/>
      <c r="B273" s="499" t="s">
        <v>878</v>
      </c>
      <c r="C273" s="499"/>
      <c r="D273" s="499"/>
      <c r="E273" s="499"/>
      <c r="F273" s="499"/>
      <c r="G273" s="499"/>
    </row>
    <row r="274" spans="1:7" x14ac:dyDescent="0.3">
      <c r="B274" s="318" t="s">
        <v>644</v>
      </c>
      <c r="C274" s="316"/>
      <c r="D274" s="316"/>
      <c r="E274" s="317"/>
    </row>
    <row r="275" spans="1:7" x14ac:dyDescent="0.3">
      <c r="B275" s="427" t="s">
        <v>645</v>
      </c>
      <c r="C275" s="427"/>
      <c r="D275" s="427"/>
      <c r="E275" s="427"/>
    </row>
    <row r="276" spans="1:7" ht="24.75" customHeight="1" x14ac:dyDescent="0.3">
      <c r="B276" s="321" t="s">
        <v>646</v>
      </c>
      <c r="C276" s="321"/>
      <c r="D276" s="321"/>
      <c r="E276" s="321"/>
    </row>
    <row r="277" spans="1:7" ht="18.75" customHeight="1" x14ac:dyDescent="0.3">
      <c r="B277" s="321" t="s">
        <v>663</v>
      </c>
      <c r="C277" s="321"/>
      <c r="D277" s="321"/>
      <c r="E277" s="321"/>
    </row>
    <row r="278" spans="1:7" ht="37.5" customHeight="1" x14ac:dyDescent="0.3">
      <c r="B278" s="429" t="s">
        <v>661</v>
      </c>
      <c r="C278" s="429"/>
      <c r="D278" s="429"/>
      <c r="E278" s="429"/>
    </row>
    <row r="279" spans="1:7" x14ac:dyDescent="0.3">
      <c r="B279" s="427" t="s">
        <v>647</v>
      </c>
      <c r="C279" s="439"/>
      <c r="D279" s="319"/>
      <c r="E279" s="319"/>
    </row>
    <row r="280" spans="1:7" ht="50.25" customHeight="1" x14ac:dyDescent="0.3">
      <c r="B280" s="429" t="s">
        <v>648</v>
      </c>
      <c r="C280" s="429"/>
      <c r="D280" s="429"/>
      <c r="E280" s="429"/>
      <c r="F280" s="429"/>
      <c r="G280" s="429"/>
    </row>
    <row r="281" spans="1:7" s="332" customFormat="1" ht="18" customHeight="1" x14ac:dyDescent="0.3">
      <c r="A281" s="330"/>
      <c r="B281" s="333" t="s">
        <v>664</v>
      </c>
      <c r="C281" s="333"/>
      <c r="D281" s="331"/>
      <c r="E281" s="331"/>
      <c r="F281" s="331"/>
      <c r="G281" s="331"/>
    </row>
    <row r="282" spans="1:7" x14ac:dyDescent="0.3">
      <c r="B282" s="428" t="s">
        <v>649</v>
      </c>
      <c r="C282" s="428"/>
      <c r="D282" s="428"/>
      <c r="E282" s="320"/>
    </row>
    <row r="283" spans="1:7" x14ac:dyDescent="0.3">
      <c r="B283" s="321" t="s">
        <v>650</v>
      </c>
      <c r="C283" s="321"/>
      <c r="D283" s="321"/>
      <c r="E283" s="320"/>
    </row>
    <row r="284" spans="1:7" x14ac:dyDescent="0.3">
      <c r="B284" s="322" t="s">
        <v>651</v>
      </c>
      <c r="C284" s="322"/>
      <c r="D284" s="322"/>
      <c r="E284" s="323"/>
    </row>
    <row r="285" spans="1:7" x14ac:dyDescent="0.3">
      <c r="B285" s="322" t="s">
        <v>652</v>
      </c>
      <c r="C285" s="322"/>
      <c r="D285" s="322"/>
      <c r="E285" s="323"/>
    </row>
    <row r="286" spans="1:7" x14ac:dyDescent="0.3">
      <c r="B286" s="322" t="s">
        <v>660</v>
      </c>
      <c r="C286" s="322"/>
      <c r="D286" s="322"/>
      <c r="E286" s="323"/>
    </row>
    <row r="287" spans="1:7" x14ac:dyDescent="0.3">
      <c r="B287" s="322" t="s">
        <v>653</v>
      </c>
      <c r="C287" s="322"/>
      <c r="D287" s="322"/>
      <c r="E287" s="323"/>
    </row>
    <row r="288" spans="1:7" x14ac:dyDescent="0.3">
      <c r="B288" s="322" t="s">
        <v>654</v>
      </c>
      <c r="C288" s="322"/>
      <c r="D288" s="322"/>
      <c r="E288" s="323"/>
    </row>
    <row r="289" spans="2:5" x14ac:dyDescent="0.3">
      <c r="B289" s="322" t="s">
        <v>655</v>
      </c>
      <c r="C289" s="322"/>
      <c r="D289" s="322"/>
      <c r="E289" s="323"/>
    </row>
    <row r="290" spans="2:5" x14ac:dyDescent="0.3">
      <c r="B290" s="322" t="s">
        <v>656</v>
      </c>
      <c r="C290" s="322"/>
      <c r="D290" s="322"/>
      <c r="E290" s="323"/>
    </row>
    <row r="291" spans="2:5" x14ac:dyDescent="0.3">
      <c r="B291" s="322" t="s">
        <v>657</v>
      </c>
      <c r="C291" s="322"/>
      <c r="D291" s="322"/>
      <c r="E291" s="323"/>
    </row>
    <row r="292" spans="2:5" ht="39" customHeight="1" x14ac:dyDescent="0.3">
      <c r="B292" s="429" t="s">
        <v>658</v>
      </c>
      <c r="C292" s="429"/>
      <c r="D292" s="429"/>
      <c r="E292" s="429"/>
    </row>
    <row r="293" spans="2:5" x14ac:dyDescent="0.3">
      <c r="B293" s="427" t="s">
        <v>659</v>
      </c>
      <c r="C293" s="427"/>
      <c r="D293" s="427"/>
      <c r="E293" s="427"/>
    </row>
    <row r="294" spans="2:5" x14ac:dyDescent="0.3">
      <c r="B294" s="425" t="s">
        <v>851</v>
      </c>
      <c r="C294" s="426"/>
      <c r="D294" s="324"/>
      <c r="E294" s="325"/>
    </row>
  </sheetData>
  <mergeCells count="81">
    <mergeCell ref="B273:G273"/>
    <mergeCell ref="B272:F272"/>
    <mergeCell ref="B271:F271"/>
    <mergeCell ref="A224:G224"/>
    <mergeCell ref="C225:G225"/>
    <mergeCell ref="A256:G256"/>
    <mergeCell ref="C241:G241"/>
    <mergeCell ref="C249:G249"/>
    <mergeCell ref="C252:G252"/>
    <mergeCell ref="C226:G226"/>
    <mergeCell ref="C234:G234"/>
    <mergeCell ref="C237:G237"/>
    <mergeCell ref="C240:G240"/>
    <mergeCell ref="A90:G90"/>
    <mergeCell ref="A100:G100"/>
    <mergeCell ref="A26:G26"/>
    <mergeCell ref="A32:G32"/>
    <mergeCell ref="A33:G33"/>
    <mergeCell ref="A29:G29"/>
    <mergeCell ref="A70:G70"/>
    <mergeCell ref="C78:G78"/>
    <mergeCell ref="A83:G83"/>
    <mergeCell ref="A88:G88"/>
    <mergeCell ref="C14:C15"/>
    <mergeCell ref="D14:D15"/>
    <mergeCell ref="E14:E15"/>
    <mergeCell ref="A20:G20"/>
    <mergeCell ref="A64:G64"/>
    <mergeCell ref="A59:G59"/>
    <mergeCell ref="A21:G21"/>
    <mergeCell ref="A22:G22"/>
    <mergeCell ref="A24:G24"/>
    <mergeCell ref="A45:G45"/>
    <mergeCell ref="A46:G46"/>
    <mergeCell ref="A37:G37"/>
    <mergeCell ref="A40:G40"/>
    <mergeCell ref="B261:D261"/>
    <mergeCell ref="B266:E266"/>
    <mergeCell ref="B275:E275"/>
    <mergeCell ref="B278:E278"/>
    <mergeCell ref="E1:G1"/>
    <mergeCell ref="E2:G2"/>
    <mergeCell ref="A6:G6"/>
    <mergeCell ref="F7:G7"/>
    <mergeCell ref="C8:G8"/>
    <mergeCell ref="A9:B9"/>
    <mergeCell ref="C11:G11"/>
    <mergeCell ref="F14:F15"/>
    <mergeCell ref="G14:G15"/>
    <mergeCell ref="A17:G17"/>
    <mergeCell ref="A14:A15"/>
    <mergeCell ref="B14:B15"/>
    <mergeCell ref="A151:G151"/>
    <mergeCell ref="C208:G208"/>
    <mergeCell ref="A104:G104"/>
    <mergeCell ref="A107:G107"/>
    <mergeCell ref="A110:G110"/>
    <mergeCell ref="A111:G111"/>
    <mergeCell ref="A141:G141"/>
    <mergeCell ref="A147:G147"/>
    <mergeCell ref="C152:G152"/>
    <mergeCell ref="A157:G157"/>
    <mergeCell ref="A180:G180"/>
    <mergeCell ref="A182:G182"/>
    <mergeCell ref="A184:G184"/>
    <mergeCell ref="C257:F257"/>
    <mergeCell ref="C93:G93"/>
    <mergeCell ref="B294:C294"/>
    <mergeCell ref="B293:E293"/>
    <mergeCell ref="B282:D282"/>
    <mergeCell ref="B292:E292"/>
    <mergeCell ref="B280:G280"/>
    <mergeCell ref="B260:G260"/>
    <mergeCell ref="A117:G117"/>
    <mergeCell ref="A137:G137"/>
    <mergeCell ref="A139:G139"/>
    <mergeCell ref="A144:G144"/>
    <mergeCell ref="A188:G188"/>
    <mergeCell ref="A207:G207"/>
    <mergeCell ref="A221:G221"/>
    <mergeCell ref="B279:C279"/>
  </mergeCells>
  <printOptions horizontalCentered="1"/>
  <pageMargins left="0.19685039370078741" right="0.19685039370078741" top="0.35433070866141736" bottom="0.19685039370078741" header="0.11811023622047245" footer="0.11811023622047245"/>
  <pageSetup paperSize="9" scale="86" fitToHeight="11"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R58"/>
  <sheetViews>
    <sheetView view="pageBreakPreview" topLeftCell="A43" zoomScaleNormal="100" zoomScaleSheetLayoutView="100" workbookViewId="0">
      <selection activeCell="F9" sqref="F1:F1048576"/>
    </sheetView>
  </sheetViews>
  <sheetFormatPr defaultRowHeight="12.75" x14ac:dyDescent="0.2"/>
  <cols>
    <col min="1" max="1" width="6.7109375" style="253" customWidth="1"/>
    <col min="2" max="2" width="10.7109375" style="236" hidden="1" customWidth="1"/>
    <col min="3" max="3" width="50.85546875" style="264" customWidth="1"/>
    <col min="4" max="5" width="8.7109375" style="236" customWidth="1"/>
    <col min="6" max="6" width="14" style="293" hidden="1" customWidth="1"/>
    <col min="7" max="34" width="9.140625" style="282" customWidth="1"/>
    <col min="35" max="182" width="9.140625" style="236" customWidth="1"/>
    <col min="183" max="16384" width="9.140625" style="236"/>
  </cols>
  <sheetData>
    <row r="1" spans="1:181" s="299" customFormat="1" ht="11.25" hidden="1" x14ac:dyDescent="0.2">
      <c r="A1" s="470" t="s">
        <v>211</v>
      </c>
      <c r="B1" s="470"/>
      <c r="C1" s="470"/>
      <c r="D1" s="470"/>
      <c r="E1" s="470"/>
      <c r="F1" s="292"/>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181" hidden="1" x14ac:dyDescent="0.2"/>
    <row r="3" spans="1:181" hidden="1" x14ac:dyDescent="0.2">
      <c r="A3" s="254" t="s">
        <v>218</v>
      </c>
      <c r="B3" s="235"/>
      <c r="C3" s="471"/>
      <c r="D3" s="472"/>
      <c r="E3" s="472"/>
      <c r="FY3" s="237"/>
    </row>
    <row r="4" spans="1:181" hidden="1" x14ac:dyDescent="0.2">
      <c r="A4" s="254" t="s">
        <v>220</v>
      </c>
      <c r="B4" s="235"/>
      <c r="C4" s="473"/>
      <c r="D4" s="474"/>
      <c r="E4" s="474"/>
      <c r="FY4" s="237"/>
    </row>
    <row r="5" spans="1:181" hidden="1" x14ac:dyDescent="0.2">
      <c r="A5" s="254" t="s">
        <v>221</v>
      </c>
      <c r="B5" s="235"/>
      <c r="C5" s="473"/>
      <c r="D5" s="474"/>
      <c r="E5" s="474"/>
      <c r="FY5" s="237"/>
    </row>
    <row r="6" spans="1:181" hidden="1" x14ac:dyDescent="0.2">
      <c r="A6" s="254" t="s">
        <v>222</v>
      </c>
      <c r="B6" s="235"/>
      <c r="C6" s="475"/>
      <c r="D6" s="476"/>
      <c r="E6" s="476"/>
      <c r="FY6" s="237"/>
    </row>
    <row r="7" spans="1:181" hidden="1" x14ac:dyDescent="0.2">
      <c r="A7" s="477"/>
      <c r="B7" s="477"/>
      <c r="C7" s="477"/>
      <c r="D7" s="477"/>
      <c r="E7" s="477"/>
    </row>
    <row r="8" spans="1:181" ht="18.75" hidden="1" x14ac:dyDescent="0.3">
      <c r="A8" s="478" t="s">
        <v>347</v>
      </c>
      <c r="B8" s="478"/>
      <c r="C8" s="478"/>
      <c r="D8" s="478"/>
      <c r="E8" s="478"/>
      <c r="F8" s="294"/>
    </row>
    <row r="9" spans="1:181" ht="27" customHeight="1" x14ac:dyDescent="0.3">
      <c r="A9" s="255"/>
      <c r="B9" s="298"/>
      <c r="C9" s="265"/>
      <c r="D9" s="479" t="s">
        <v>423</v>
      </c>
      <c r="E9" s="479"/>
      <c r="F9" s="295"/>
    </row>
    <row r="10" spans="1:181" ht="18.75" x14ac:dyDescent="0.3">
      <c r="A10" s="255"/>
      <c r="B10" s="298"/>
      <c r="C10" s="265"/>
      <c r="D10" s="298"/>
      <c r="E10" s="298"/>
      <c r="F10" s="295"/>
    </row>
    <row r="11" spans="1:181" x14ac:dyDescent="0.2">
      <c r="A11" s="480" t="s">
        <v>567</v>
      </c>
      <c r="B11" s="480"/>
      <c r="C11" s="480"/>
      <c r="D11" s="480"/>
      <c r="E11" s="480"/>
      <c r="F11" s="295"/>
    </row>
    <row r="12" spans="1:181" x14ac:dyDescent="0.2">
      <c r="A12" s="481"/>
      <c r="B12" s="481"/>
      <c r="C12" s="481"/>
      <c r="D12" s="481"/>
      <c r="E12" s="481"/>
      <c r="F12" s="295"/>
    </row>
    <row r="13" spans="1:181" ht="49.5" customHeight="1" x14ac:dyDescent="0.2">
      <c r="A13" s="256" t="s">
        <v>349</v>
      </c>
      <c r="B13" s="482" t="s">
        <v>477</v>
      </c>
      <c r="C13" s="482"/>
      <c r="D13" s="482"/>
      <c r="E13" s="482"/>
      <c r="F13" s="295"/>
      <c r="FY13" s="237"/>
    </row>
    <row r="14" spans="1:181" ht="24.75" customHeight="1" x14ac:dyDescent="0.25">
      <c r="A14" s="256" t="s">
        <v>224</v>
      </c>
      <c r="B14" s="469"/>
      <c r="C14" s="469"/>
      <c r="D14" s="469"/>
      <c r="E14" s="469"/>
      <c r="F14" s="295"/>
      <c r="FY14" s="237"/>
    </row>
    <row r="15" spans="1:181" hidden="1" x14ac:dyDescent="0.2">
      <c r="A15" s="256" t="s">
        <v>225</v>
      </c>
      <c r="B15" s="485" t="s">
        <v>428</v>
      </c>
      <c r="C15" s="486"/>
      <c r="D15" s="486"/>
      <c r="E15" s="486"/>
      <c r="F15" s="296"/>
      <c r="FY15" s="237"/>
    </row>
    <row r="16" spans="1:181" hidden="1" x14ac:dyDescent="0.2"/>
    <row r="17" spans="1:187" hidden="1" x14ac:dyDescent="0.2">
      <c r="A17" s="256" t="s">
        <v>239</v>
      </c>
    </row>
    <row r="18" spans="1:187" hidden="1" x14ac:dyDescent="0.2">
      <c r="A18" s="256" t="s">
        <v>240</v>
      </c>
    </row>
    <row r="19" spans="1:187" x14ac:dyDescent="0.2">
      <c r="A19" s="257" t="s">
        <v>350</v>
      </c>
      <c r="B19" s="238" t="s">
        <v>352</v>
      </c>
      <c r="C19" s="266" t="s">
        <v>355</v>
      </c>
      <c r="D19" s="238" t="s">
        <v>357</v>
      </c>
      <c r="E19" s="238" t="s">
        <v>360</v>
      </c>
      <c r="F19" s="487" t="s">
        <v>559</v>
      </c>
    </row>
    <row r="20" spans="1:187" x14ac:dyDescent="0.2">
      <c r="A20" s="258" t="s">
        <v>351</v>
      </c>
      <c r="B20" s="239" t="s">
        <v>353</v>
      </c>
      <c r="C20" s="267" t="s">
        <v>356</v>
      </c>
      <c r="D20" s="239" t="s">
        <v>358</v>
      </c>
      <c r="E20" s="239" t="s">
        <v>361</v>
      </c>
      <c r="F20" s="488"/>
    </row>
    <row r="21" spans="1:187" x14ac:dyDescent="0.2">
      <c r="A21" s="258"/>
      <c r="B21" s="239" t="s">
        <v>354</v>
      </c>
      <c r="C21" s="267"/>
      <c r="D21" s="239" t="s">
        <v>359</v>
      </c>
      <c r="E21" s="286"/>
      <c r="F21" s="489"/>
    </row>
    <row r="22" spans="1:187" x14ac:dyDescent="0.2">
      <c r="A22" s="279">
        <v>1</v>
      </c>
      <c r="B22" s="280">
        <v>2</v>
      </c>
      <c r="C22" s="280">
        <v>2</v>
      </c>
      <c r="D22" s="280">
        <v>3</v>
      </c>
      <c r="E22" s="280">
        <v>4</v>
      </c>
    </row>
    <row r="23" spans="1:187" s="245" customFormat="1" ht="12.75" customHeight="1" x14ac:dyDescent="0.2">
      <c r="A23" s="272" t="s">
        <v>486</v>
      </c>
      <c r="B23" s="490" t="s">
        <v>478</v>
      </c>
      <c r="C23" s="491"/>
      <c r="D23" s="491"/>
      <c r="E23" s="491"/>
      <c r="F23" s="301"/>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row>
    <row r="24" spans="1:187" s="42" customFormat="1" ht="12" x14ac:dyDescent="0.2">
      <c r="A24" s="259">
        <v>1</v>
      </c>
      <c r="B24" s="186" t="s">
        <v>487</v>
      </c>
      <c r="C24" s="268" t="s">
        <v>488</v>
      </c>
      <c r="D24" s="186" t="s">
        <v>435</v>
      </c>
      <c r="E24" s="287">
        <v>6</v>
      </c>
      <c r="F24" s="297" t="s">
        <v>558</v>
      </c>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c r="CC24" s="249"/>
      <c r="CD24" s="249"/>
      <c r="CE24" s="249"/>
      <c r="CF24" s="249"/>
      <c r="CG24" s="249"/>
      <c r="CH24" s="249"/>
      <c r="CI24" s="249"/>
      <c r="CJ24" s="249"/>
      <c r="CK24" s="249"/>
      <c r="CL24" s="249"/>
      <c r="CM24" s="249"/>
      <c r="CN24" s="249"/>
      <c r="CO24" s="249"/>
      <c r="CP24" s="249"/>
      <c r="CQ24" s="249"/>
      <c r="CR24" s="249"/>
      <c r="CS24" s="249"/>
      <c r="CT24" s="249"/>
      <c r="CU24" s="249"/>
      <c r="CV24" s="249"/>
      <c r="CW24" s="249"/>
      <c r="CX24" s="249"/>
      <c r="CY24" s="249"/>
      <c r="CZ24" s="249"/>
      <c r="DA24" s="249"/>
      <c r="DB24" s="249"/>
      <c r="DC24" s="249"/>
      <c r="DD24" s="249"/>
      <c r="DE24" s="249"/>
      <c r="DF24" s="249"/>
      <c r="DG24" s="249"/>
      <c r="DH24" s="249"/>
      <c r="DI24" s="249"/>
      <c r="DJ24" s="249"/>
      <c r="DK24" s="249"/>
      <c r="DL24" s="249"/>
      <c r="DM24" s="249"/>
      <c r="DN24" s="249"/>
      <c r="DO24" s="249"/>
      <c r="DP24" s="249"/>
      <c r="DQ24" s="249"/>
      <c r="DR24" s="249"/>
      <c r="DS24" s="249"/>
      <c r="DT24" s="249"/>
      <c r="DU24" s="249"/>
      <c r="DV24" s="249"/>
      <c r="DW24" s="249"/>
      <c r="DX24" s="249"/>
      <c r="DY24" s="249"/>
      <c r="DZ24" s="249"/>
      <c r="EA24" s="249"/>
      <c r="EB24" s="249"/>
      <c r="EC24" s="249"/>
      <c r="ED24" s="249"/>
      <c r="EE24" s="249"/>
      <c r="EF24" s="249"/>
      <c r="EG24" s="249"/>
      <c r="EH24" s="249"/>
      <c r="EI24" s="249"/>
      <c r="EJ24" s="249"/>
      <c r="EK24" s="249"/>
      <c r="EL24" s="249"/>
      <c r="EM24" s="249"/>
      <c r="EN24" s="249"/>
      <c r="EO24" s="249"/>
      <c r="EP24" s="249"/>
      <c r="EQ24" s="249"/>
      <c r="ER24" s="249"/>
      <c r="ES24" s="249"/>
      <c r="ET24" s="249"/>
      <c r="EU24" s="249"/>
      <c r="EV24" s="249"/>
      <c r="EW24" s="249"/>
      <c r="EX24" s="249"/>
      <c r="EY24" s="249"/>
      <c r="EZ24" s="249"/>
      <c r="FA24" s="249"/>
      <c r="FB24" s="249"/>
      <c r="FC24" s="249"/>
      <c r="FD24" s="249"/>
      <c r="FE24" s="249"/>
      <c r="FF24" s="249"/>
      <c r="FG24" s="249"/>
      <c r="FH24" s="249"/>
      <c r="FI24" s="249"/>
      <c r="FJ24" s="249"/>
      <c r="FK24" s="249"/>
      <c r="FL24" s="249"/>
      <c r="FM24" s="249"/>
      <c r="FN24" s="249"/>
      <c r="FO24" s="249"/>
      <c r="FP24" s="249"/>
      <c r="FQ24" s="249"/>
      <c r="FR24" s="249"/>
      <c r="FS24" s="249"/>
      <c r="FT24" s="249"/>
      <c r="FU24" s="249"/>
      <c r="FV24" s="249"/>
      <c r="FW24" s="249"/>
      <c r="FX24" s="249"/>
      <c r="FY24" s="249"/>
      <c r="FZ24" s="249"/>
      <c r="GA24" s="249"/>
    </row>
    <row r="25" spans="1:187" s="245" customFormat="1" x14ac:dyDescent="0.2">
      <c r="A25" s="272" t="s">
        <v>486</v>
      </c>
      <c r="B25" s="245" t="s">
        <v>479</v>
      </c>
      <c r="C25" s="273" t="s">
        <v>479</v>
      </c>
      <c r="F25" s="301"/>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row>
    <row r="26" spans="1:187" s="42" customFormat="1" ht="60" x14ac:dyDescent="0.2">
      <c r="A26" s="259">
        <v>10</v>
      </c>
      <c r="B26" s="186" t="s">
        <v>434</v>
      </c>
      <c r="C26" s="268" t="s">
        <v>489</v>
      </c>
      <c r="D26" s="186" t="s">
        <v>435</v>
      </c>
      <c r="E26" s="287">
        <v>1</v>
      </c>
      <c r="F26" s="297" t="s">
        <v>558</v>
      </c>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c r="CC26" s="249"/>
      <c r="CD26" s="249"/>
      <c r="CE26" s="249"/>
      <c r="CF26" s="249"/>
      <c r="CG26" s="249"/>
      <c r="CH26" s="249"/>
      <c r="CI26" s="249"/>
      <c r="CJ26" s="249"/>
      <c r="CK26" s="249"/>
      <c r="CL26" s="249"/>
      <c r="CM26" s="249"/>
      <c r="CN26" s="249"/>
      <c r="CO26" s="249"/>
      <c r="CP26" s="249"/>
      <c r="CQ26" s="249"/>
      <c r="CR26" s="249"/>
      <c r="CS26" s="249"/>
      <c r="CT26" s="249"/>
      <c r="CU26" s="249"/>
      <c r="CV26" s="249"/>
      <c r="CW26" s="249"/>
      <c r="CX26" s="249"/>
      <c r="CY26" s="249"/>
      <c r="CZ26" s="249"/>
      <c r="DA26" s="249"/>
      <c r="DB26" s="249"/>
      <c r="DC26" s="249"/>
      <c r="DD26" s="249"/>
      <c r="DE26" s="249"/>
      <c r="DF26" s="249"/>
      <c r="DG26" s="249"/>
      <c r="DH26" s="249"/>
      <c r="DI26" s="249"/>
      <c r="DJ26" s="249"/>
      <c r="DK26" s="249"/>
      <c r="DL26" s="249"/>
      <c r="DM26" s="249"/>
      <c r="DN26" s="249"/>
      <c r="DO26" s="249"/>
      <c r="DP26" s="249"/>
      <c r="DQ26" s="249"/>
      <c r="DR26" s="249"/>
      <c r="DS26" s="249"/>
      <c r="DT26" s="249"/>
      <c r="DU26" s="249"/>
      <c r="DV26" s="249"/>
      <c r="DW26" s="249"/>
      <c r="DX26" s="249"/>
      <c r="DY26" s="249"/>
      <c r="DZ26" s="249"/>
      <c r="EA26" s="249"/>
      <c r="EB26" s="249"/>
      <c r="EC26" s="249"/>
      <c r="ED26" s="249"/>
      <c r="EE26" s="249"/>
      <c r="EF26" s="249"/>
      <c r="EG26" s="249"/>
      <c r="EH26" s="249"/>
      <c r="EI26" s="249"/>
      <c r="EJ26" s="249"/>
      <c r="EK26" s="249"/>
      <c r="EL26" s="249"/>
      <c r="EM26" s="249"/>
      <c r="EN26" s="249"/>
      <c r="EO26" s="249"/>
      <c r="EP26" s="249"/>
      <c r="EQ26" s="249"/>
      <c r="ER26" s="249"/>
      <c r="ES26" s="249"/>
      <c r="ET26" s="249"/>
      <c r="EU26" s="249"/>
      <c r="EV26" s="249"/>
      <c r="EW26" s="249"/>
      <c r="EX26" s="249"/>
      <c r="EY26" s="249"/>
      <c r="EZ26" s="249"/>
      <c r="FA26" s="249"/>
      <c r="FB26" s="249"/>
      <c r="FC26" s="249"/>
      <c r="FD26" s="249"/>
      <c r="FE26" s="249"/>
      <c r="FF26" s="249"/>
      <c r="FG26" s="249"/>
      <c r="FH26" s="249"/>
      <c r="FI26" s="249"/>
      <c r="FJ26" s="249"/>
      <c r="FK26" s="249"/>
      <c r="FL26" s="249"/>
      <c r="FM26" s="249"/>
      <c r="FN26" s="249"/>
      <c r="FO26" s="249"/>
      <c r="FP26" s="249"/>
      <c r="FQ26" s="249"/>
      <c r="FR26" s="249"/>
      <c r="FS26" s="249"/>
      <c r="FT26" s="249"/>
      <c r="FU26" s="249"/>
      <c r="FV26" s="249"/>
      <c r="FW26" s="249"/>
      <c r="FX26" s="249"/>
      <c r="FY26" s="249"/>
      <c r="FZ26" s="249"/>
      <c r="GA26" s="249"/>
      <c r="GB26" s="249"/>
      <c r="GC26" s="249"/>
      <c r="GD26" s="249"/>
      <c r="GE26" s="249"/>
    </row>
    <row r="27" spans="1:187" s="42" customFormat="1" ht="60" x14ac:dyDescent="0.2">
      <c r="A27" s="259">
        <v>12</v>
      </c>
      <c r="B27" s="186" t="s">
        <v>434</v>
      </c>
      <c r="C27" s="268" t="s">
        <v>490</v>
      </c>
      <c r="D27" s="186" t="s">
        <v>435</v>
      </c>
      <c r="E27" s="287">
        <v>2</v>
      </c>
      <c r="F27" s="297" t="s">
        <v>558</v>
      </c>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c r="CC27" s="249"/>
      <c r="CD27" s="249"/>
      <c r="CE27" s="249"/>
      <c r="CF27" s="249"/>
      <c r="CG27" s="249"/>
      <c r="CH27" s="249"/>
      <c r="CI27" s="249"/>
      <c r="CJ27" s="249"/>
      <c r="CK27" s="249"/>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V27" s="249"/>
      <c r="DW27" s="249"/>
      <c r="DX27" s="249"/>
      <c r="DY27" s="249"/>
      <c r="DZ27" s="249"/>
      <c r="EA27" s="249"/>
      <c r="EB27" s="249"/>
      <c r="EC27" s="249"/>
      <c r="ED27" s="249"/>
      <c r="EE27" s="249"/>
      <c r="EF27" s="249"/>
      <c r="EG27" s="249"/>
      <c r="EH27" s="249"/>
      <c r="EI27" s="249"/>
      <c r="EJ27" s="249"/>
      <c r="EK27" s="249"/>
      <c r="EL27" s="249"/>
      <c r="EM27" s="249"/>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c r="FL27" s="249"/>
      <c r="FM27" s="249"/>
      <c r="FN27" s="249"/>
      <c r="FO27" s="249"/>
      <c r="FP27" s="249"/>
      <c r="FQ27" s="249"/>
      <c r="FR27" s="249"/>
      <c r="FS27" s="249"/>
      <c r="FT27" s="249"/>
      <c r="FU27" s="249"/>
      <c r="FV27" s="249"/>
      <c r="FW27" s="249"/>
      <c r="FX27" s="249"/>
      <c r="FY27" s="249"/>
      <c r="FZ27" s="249"/>
      <c r="GA27" s="249"/>
      <c r="GB27" s="249"/>
      <c r="GC27" s="249"/>
      <c r="GD27" s="249"/>
      <c r="GE27" s="249"/>
    </row>
    <row r="28" spans="1:187" s="42" customFormat="1" ht="24" x14ac:dyDescent="0.2">
      <c r="A28" s="259">
        <v>13</v>
      </c>
      <c r="B28" s="186" t="s">
        <v>434</v>
      </c>
      <c r="C28" s="268" t="s">
        <v>491</v>
      </c>
      <c r="D28" s="186" t="s">
        <v>435</v>
      </c>
      <c r="E28" s="287">
        <v>15</v>
      </c>
      <c r="F28" s="297" t="s">
        <v>558</v>
      </c>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T28" s="249"/>
      <c r="FU28" s="249"/>
      <c r="FV28" s="249"/>
      <c r="FW28" s="249"/>
      <c r="FX28" s="249"/>
      <c r="FY28" s="249"/>
      <c r="FZ28" s="249"/>
      <c r="GA28" s="249"/>
      <c r="GB28" s="249"/>
      <c r="GC28" s="249"/>
      <c r="GD28" s="249"/>
      <c r="GE28" s="249"/>
    </row>
    <row r="29" spans="1:187" s="42" customFormat="1" ht="48" x14ac:dyDescent="0.2">
      <c r="A29" s="259">
        <v>14</v>
      </c>
      <c r="B29" s="186" t="s">
        <v>434</v>
      </c>
      <c r="C29" s="268" t="s">
        <v>492</v>
      </c>
      <c r="D29" s="186" t="s">
        <v>435</v>
      </c>
      <c r="E29" s="287">
        <v>5</v>
      </c>
      <c r="F29" s="297" t="s">
        <v>558</v>
      </c>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c r="CC29" s="249"/>
      <c r="CD29" s="249"/>
      <c r="CE29" s="249"/>
      <c r="CF29" s="249"/>
      <c r="CG29" s="249"/>
      <c r="CH29" s="249"/>
      <c r="CI29" s="249"/>
      <c r="CJ29" s="249"/>
      <c r="CK29" s="249"/>
      <c r="CL29" s="249"/>
      <c r="CM29" s="249"/>
      <c r="CN29" s="249"/>
      <c r="CO29" s="249"/>
      <c r="CP29" s="249"/>
      <c r="CQ29" s="249"/>
      <c r="CR29" s="249"/>
      <c r="CS29" s="249"/>
      <c r="CT29" s="249"/>
      <c r="CU29" s="249"/>
      <c r="CV29" s="249"/>
      <c r="CW29" s="249"/>
      <c r="CX29" s="249"/>
      <c r="CY29" s="249"/>
      <c r="CZ29" s="249"/>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49"/>
      <c r="EE29" s="249"/>
      <c r="EF29" s="249"/>
      <c r="EG29" s="249"/>
      <c r="EH29" s="249"/>
      <c r="EI29" s="249"/>
      <c r="EJ29" s="249"/>
      <c r="EK29" s="249"/>
      <c r="EL29" s="249"/>
      <c r="EM29" s="249"/>
      <c r="EN29" s="249"/>
      <c r="EO29" s="249"/>
      <c r="EP29" s="249"/>
      <c r="EQ29" s="249"/>
      <c r="ER29" s="249"/>
      <c r="ES29" s="249"/>
      <c r="ET29" s="249"/>
      <c r="EU29" s="249"/>
      <c r="EV29" s="249"/>
      <c r="EW29" s="249"/>
      <c r="EX29" s="249"/>
      <c r="EY29" s="249"/>
      <c r="EZ29" s="249"/>
      <c r="FA29" s="249"/>
      <c r="FB29" s="249"/>
      <c r="FC29" s="249"/>
      <c r="FD29" s="249"/>
      <c r="FE29" s="249"/>
      <c r="FF29" s="249"/>
      <c r="FG29" s="249"/>
      <c r="FH29" s="249"/>
      <c r="FI29" s="249"/>
      <c r="FJ29" s="249"/>
      <c r="FK29" s="249"/>
      <c r="FL29" s="249"/>
      <c r="FM29" s="249"/>
      <c r="FN29" s="249"/>
      <c r="FO29" s="249"/>
      <c r="FP29" s="249"/>
      <c r="FQ29" s="249"/>
      <c r="FR29" s="249"/>
      <c r="FS29" s="249"/>
      <c r="FT29" s="249"/>
      <c r="FU29" s="249"/>
      <c r="FV29" s="249"/>
      <c r="FW29" s="249"/>
      <c r="FX29" s="249"/>
      <c r="FY29" s="249"/>
      <c r="FZ29" s="249"/>
      <c r="GA29" s="249"/>
      <c r="GB29" s="249"/>
      <c r="GC29" s="249"/>
      <c r="GD29" s="249"/>
      <c r="GE29" s="249"/>
    </row>
    <row r="30" spans="1:187" s="42" customFormat="1" ht="48" x14ac:dyDescent="0.2">
      <c r="A30" s="259">
        <v>15</v>
      </c>
      <c r="B30" s="186" t="s">
        <v>434</v>
      </c>
      <c r="C30" s="268" t="s">
        <v>493</v>
      </c>
      <c r="D30" s="186" t="s">
        <v>435</v>
      </c>
      <c r="E30" s="287">
        <v>4</v>
      </c>
      <c r="F30" s="297" t="s">
        <v>558</v>
      </c>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c r="FL30" s="249"/>
      <c r="FM30" s="249"/>
      <c r="FN30" s="249"/>
      <c r="FO30" s="249"/>
      <c r="FP30" s="249"/>
      <c r="FQ30" s="249"/>
      <c r="FR30" s="249"/>
      <c r="FS30" s="249"/>
      <c r="FT30" s="249"/>
      <c r="FU30" s="249"/>
      <c r="FV30" s="249"/>
      <c r="FW30" s="249"/>
      <c r="FX30" s="249"/>
      <c r="FY30" s="249"/>
      <c r="FZ30" s="249"/>
      <c r="GA30" s="249"/>
      <c r="GB30" s="249"/>
      <c r="GC30" s="249"/>
      <c r="GD30" s="249"/>
      <c r="GE30" s="249"/>
    </row>
    <row r="31" spans="1:187" s="42" customFormat="1" ht="48" x14ac:dyDescent="0.2">
      <c r="A31" s="259">
        <v>16</v>
      </c>
      <c r="B31" s="186" t="s">
        <v>434</v>
      </c>
      <c r="C31" s="268" t="s">
        <v>494</v>
      </c>
      <c r="D31" s="186" t="s">
        <v>435</v>
      </c>
      <c r="E31" s="287">
        <v>11</v>
      </c>
      <c r="F31" s="297" t="s">
        <v>558</v>
      </c>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T31" s="249"/>
      <c r="FU31" s="249"/>
      <c r="FV31" s="249"/>
      <c r="FW31" s="249"/>
      <c r="FX31" s="249"/>
      <c r="FY31" s="249"/>
      <c r="FZ31" s="249"/>
      <c r="GA31" s="249"/>
      <c r="GB31" s="249"/>
      <c r="GC31" s="249"/>
      <c r="GD31" s="249"/>
      <c r="GE31" s="249"/>
    </row>
    <row r="32" spans="1:187" s="42" customFormat="1" ht="24" x14ac:dyDescent="0.2">
      <c r="A32" s="259">
        <v>18</v>
      </c>
      <c r="B32" s="186" t="s">
        <v>495</v>
      </c>
      <c r="C32" s="268" t="s">
        <v>496</v>
      </c>
      <c r="D32" s="186" t="s">
        <v>418</v>
      </c>
      <c r="E32" s="287">
        <v>7.3400000000000007E-2</v>
      </c>
      <c r="F32" s="297" t="s">
        <v>558</v>
      </c>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c r="FL32" s="249"/>
      <c r="FM32" s="249"/>
      <c r="FN32" s="249"/>
      <c r="FO32" s="249"/>
      <c r="FP32" s="249"/>
      <c r="FQ32" s="249"/>
      <c r="FR32" s="249"/>
      <c r="FS32" s="249"/>
      <c r="FT32" s="249"/>
      <c r="FU32" s="249"/>
      <c r="FV32" s="249"/>
      <c r="FW32" s="249"/>
      <c r="FX32" s="249"/>
      <c r="FY32" s="249"/>
      <c r="FZ32" s="249"/>
      <c r="GA32" s="249"/>
      <c r="GB32" s="249"/>
      <c r="GC32" s="249"/>
      <c r="GD32" s="249"/>
      <c r="GE32" s="249"/>
    </row>
    <row r="33" spans="1:195" s="42" customFormat="1" ht="60" x14ac:dyDescent="0.2">
      <c r="A33" s="259">
        <v>19</v>
      </c>
      <c r="B33" s="186" t="s">
        <v>434</v>
      </c>
      <c r="C33" s="268" t="s">
        <v>497</v>
      </c>
      <c r="D33" s="186" t="s">
        <v>435</v>
      </c>
      <c r="E33" s="287">
        <v>1</v>
      </c>
      <c r="F33" s="297" t="s">
        <v>558</v>
      </c>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row>
    <row r="34" spans="1:195" s="42" customFormat="1" ht="72" x14ac:dyDescent="0.2">
      <c r="A34" s="259">
        <v>20</v>
      </c>
      <c r="B34" s="186" t="s">
        <v>434</v>
      </c>
      <c r="C34" s="268" t="s">
        <v>498</v>
      </c>
      <c r="D34" s="186" t="s">
        <v>435</v>
      </c>
      <c r="E34" s="287">
        <v>16</v>
      </c>
      <c r="F34" s="297" t="s">
        <v>558</v>
      </c>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c r="EB34" s="249"/>
      <c r="EC34" s="249"/>
      <c r="ED34" s="249"/>
      <c r="EE34" s="249"/>
      <c r="EF34" s="249"/>
      <c r="EG34" s="249"/>
      <c r="EH34" s="249"/>
      <c r="EI34" s="249"/>
      <c r="EJ34" s="249"/>
      <c r="EK34" s="249"/>
      <c r="EL34" s="249"/>
      <c r="EM34" s="249"/>
      <c r="EN34" s="249"/>
      <c r="EO34" s="249"/>
      <c r="EP34" s="249"/>
      <c r="EQ34" s="249"/>
      <c r="ER34" s="249"/>
      <c r="ES34" s="249"/>
      <c r="ET34" s="249"/>
      <c r="EU34" s="249"/>
      <c r="EV34" s="249"/>
      <c r="EW34" s="249"/>
      <c r="EX34" s="249"/>
      <c r="EY34" s="249"/>
      <c r="EZ34" s="249"/>
      <c r="FA34" s="249"/>
      <c r="FB34" s="249"/>
      <c r="FC34" s="249"/>
      <c r="FD34" s="249"/>
      <c r="FE34" s="249"/>
      <c r="FF34" s="249"/>
      <c r="FG34" s="249"/>
      <c r="FH34" s="249"/>
      <c r="FI34" s="249"/>
      <c r="FJ34" s="249"/>
      <c r="FK34" s="249"/>
      <c r="FL34" s="249"/>
      <c r="FM34" s="249"/>
      <c r="FN34" s="249"/>
      <c r="FO34" s="249"/>
      <c r="FP34" s="249"/>
      <c r="FQ34" s="249"/>
      <c r="FR34" s="249"/>
      <c r="FS34" s="249"/>
      <c r="FT34" s="249"/>
      <c r="FU34" s="249"/>
      <c r="FV34" s="249"/>
      <c r="FW34" s="249"/>
      <c r="FX34" s="249"/>
      <c r="FY34" s="249"/>
      <c r="FZ34" s="249"/>
      <c r="GA34" s="249"/>
      <c r="GB34" s="249"/>
      <c r="GC34" s="249"/>
      <c r="GD34" s="249"/>
      <c r="GE34" s="249"/>
    </row>
    <row r="35" spans="1:195" s="42" customFormat="1" ht="12" x14ac:dyDescent="0.2">
      <c r="A35" s="259">
        <v>21</v>
      </c>
      <c r="B35" s="186" t="s">
        <v>434</v>
      </c>
      <c r="C35" s="268" t="s">
        <v>436</v>
      </c>
      <c r="D35" s="186" t="s">
        <v>435</v>
      </c>
      <c r="E35" s="287">
        <v>17</v>
      </c>
      <c r="F35" s="297" t="s">
        <v>558</v>
      </c>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c r="FL35" s="249"/>
      <c r="FM35" s="249"/>
      <c r="FN35" s="249"/>
      <c r="FO35" s="249"/>
      <c r="FP35" s="249"/>
      <c r="FQ35" s="249"/>
      <c r="FR35" s="249"/>
      <c r="FS35" s="249"/>
      <c r="FT35" s="249"/>
      <c r="FU35" s="249"/>
      <c r="FV35" s="249"/>
      <c r="FW35" s="249"/>
      <c r="FX35" s="249"/>
      <c r="FY35" s="249"/>
      <c r="FZ35" s="249"/>
      <c r="GA35" s="249"/>
      <c r="GB35" s="249"/>
      <c r="GC35" s="249"/>
      <c r="GD35" s="249"/>
      <c r="GE35" s="249"/>
    </row>
    <row r="36" spans="1:195" s="42" customFormat="1" ht="60" x14ac:dyDescent="0.2">
      <c r="A36" s="259">
        <v>23</v>
      </c>
      <c r="B36" s="186" t="s">
        <v>434</v>
      </c>
      <c r="C36" s="268" t="s">
        <v>499</v>
      </c>
      <c r="D36" s="186" t="s">
        <v>429</v>
      </c>
      <c r="E36" s="287">
        <v>17</v>
      </c>
      <c r="F36" s="297" t="s">
        <v>558</v>
      </c>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c r="FL36" s="249"/>
      <c r="FM36" s="249"/>
      <c r="FN36" s="249"/>
      <c r="FO36" s="249"/>
      <c r="FP36" s="249"/>
      <c r="FQ36" s="249"/>
      <c r="FR36" s="249"/>
      <c r="FS36" s="249"/>
      <c r="FT36" s="249"/>
      <c r="FU36" s="249"/>
      <c r="FV36" s="249"/>
      <c r="FW36" s="249"/>
      <c r="FX36" s="249"/>
      <c r="FY36" s="249"/>
      <c r="FZ36" s="249"/>
      <c r="GA36" s="249"/>
      <c r="GB36" s="249"/>
      <c r="GC36" s="249"/>
      <c r="GD36" s="249"/>
      <c r="GE36" s="249"/>
    </row>
    <row r="37" spans="1:195" s="245" customFormat="1" x14ac:dyDescent="0.2">
      <c r="A37" s="272" t="s">
        <v>486</v>
      </c>
      <c r="B37" s="245" t="s">
        <v>481</v>
      </c>
      <c r="C37" s="492" t="s">
        <v>511</v>
      </c>
      <c r="D37" s="493"/>
      <c r="E37" s="493"/>
      <c r="F37" s="301"/>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row>
    <row r="38" spans="1:195" s="42" customFormat="1" ht="48" x14ac:dyDescent="0.2">
      <c r="A38" s="259">
        <v>2</v>
      </c>
      <c r="B38" s="186" t="s">
        <v>457</v>
      </c>
      <c r="C38" s="268" t="s">
        <v>512</v>
      </c>
      <c r="D38" s="186" t="s">
        <v>513</v>
      </c>
      <c r="E38" s="287">
        <v>3</v>
      </c>
      <c r="F38" s="297" t="s">
        <v>558</v>
      </c>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c r="FJ38" s="249"/>
      <c r="FK38" s="249"/>
      <c r="FL38" s="249"/>
      <c r="FM38" s="249"/>
      <c r="FN38" s="249"/>
      <c r="FO38" s="249"/>
      <c r="FP38" s="249"/>
      <c r="FQ38" s="249"/>
      <c r="FR38" s="249"/>
      <c r="FS38" s="249"/>
      <c r="FT38" s="249"/>
      <c r="FU38" s="249"/>
      <c r="FV38" s="249"/>
      <c r="FW38" s="249"/>
      <c r="FX38" s="249"/>
      <c r="FY38" s="249"/>
      <c r="FZ38" s="249"/>
      <c r="GA38" s="249"/>
      <c r="GB38" s="249"/>
      <c r="GC38" s="249"/>
      <c r="GD38" s="249"/>
      <c r="GE38" s="249"/>
      <c r="GF38" s="249"/>
      <c r="GG38" s="249"/>
      <c r="GH38" s="249"/>
      <c r="GI38" s="249"/>
      <c r="GJ38" s="249"/>
      <c r="GK38" s="249"/>
      <c r="GL38" s="249"/>
      <c r="GM38" s="249"/>
    </row>
    <row r="39" spans="1:195" s="42" customFormat="1" ht="52.5" customHeight="1" x14ac:dyDescent="0.2">
      <c r="A39" s="259">
        <v>3</v>
      </c>
      <c r="B39" s="186" t="s">
        <v>458</v>
      </c>
      <c r="C39" s="268" t="s">
        <v>514</v>
      </c>
      <c r="D39" s="186" t="s">
        <v>513</v>
      </c>
      <c r="E39" s="287">
        <v>3</v>
      </c>
      <c r="F39" s="297" t="s">
        <v>558</v>
      </c>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c r="CG39" s="249"/>
      <c r="CH39" s="249"/>
      <c r="CI39" s="249"/>
      <c r="CJ39" s="249"/>
      <c r="CK39" s="249"/>
      <c r="CL39" s="249"/>
      <c r="CM39" s="249"/>
      <c r="CN39" s="249"/>
      <c r="CO39" s="249"/>
      <c r="CP39" s="249"/>
      <c r="CQ39" s="249"/>
      <c r="CR39" s="249"/>
      <c r="CS39" s="249"/>
      <c r="CT39" s="249"/>
      <c r="CU39" s="249"/>
      <c r="CV39" s="249"/>
      <c r="CW39" s="249"/>
      <c r="CX39" s="249"/>
      <c r="CY39" s="249"/>
      <c r="CZ39" s="249"/>
      <c r="DA39" s="249"/>
      <c r="DB39" s="249"/>
      <c r="DC39" s="249"/>
      <c r="DD39" s="249"/>
      <c r="DE39" s="249"/>
      <c r="DF39" s="249"/>
      <c r="DG39" s="249"/>
      <c r="DH39" s="249"/>
      <c r="DI39" s="249"/>
      <c r="DJ39" s="249"/>
      <c r="DK39" s="249"/>
      <c r="DL39" s="249"/>
      <c r="DM39" s="249"/>
      <c r="DN39" s="249"/>
      <c r="DO39" s="249"/>
      <c r="DP39" s="249"/>
      <c r="DQ39" s="249"/>
      <c r="DR39" s="249"/>
      <c r="DS39" s="249"/>
      <c r="DT39" s="249"/>
      <c r="DU39" s="249"/>
      <c r="DV39" s="249"/>
      <c r="DW39" s="249"/>
      <c r="DX39" s="249"/>
      <c r="DY39" s="249"/>
      <c r="DZ39" s="249"/>
      <c r="EA39" s="249"/>
      <c r="EB39" s="249"/>
      <c r="EC39" s="249"/>
      <c r="ED39" s="249"/>
      <c r="EE39" s="249"/>
      <c r="EF39" s="249"/>
      <c r="EG39" s="249"/>
      <c r="EH39" s="249"/>
      <c r="EI39" s="249"/>
      <c r="EJ39" s="249"/>
      <c r="EK39" s="249"/>
      <c r="EL39" s="249"/>
      <c r="EM39" s="249"/>
      <c r="EN39" s="249"/>
      <c r="EO39" s="249"/>
      <c r="EP39" s="249"/>
      <c r="EQ39" s="249"/>
      <c r="ER39" s="249"/>
      <c r="ES39" s="249"/>
      <c r="ET39" s="249"/>
      <c r="EU39" s="249"/>
      <c r="EV39" s="249"/>
      <c r="EW39" s="249"/>
      <c r="EX39" s="249"/>
      <c r="EY39" s="249"/>
      <c r="EZ39" s="249"/>
      <c r="FA39" s="249"/>
      <c r="FB39" s="249"/>
      <c r="FC39" s="249"/>
      <c r="FD39" s="249"/>
      <c r="FE39" s="249"/>
      <c r="FF39" s="249"/>
      <c r="FG39" s="249"/>
      <c r="FH39" s="249"/>
      <c r="FI39" s="249"/>
      <c r="FJ39" s="249"/>
      <c r="FK39" s="249"/>
      <c r="FL39" s="249"/>
      <c r="FM39" s="249"/>
      <c r="FN39" s="249"/>
      <c r="FO39" s="249"/>
      <c r="FP39" s="249"/>
      <c r="FQ39" s="249"/>
      <c r="FR39" s="249"/>
      <c r="FS39" s="249"/>
      <c r="FT39" s="249"/>
      <c r="FU39" s="249"/>
      <c r="FV39" s="249"/>
      <c r="FW39" s="249"/>
      <c r="FX39" s="249"/>
      <c r="FY39" s="249"/>
      <c r="FZ39" s="249"/>
      <c r="GA39" s="249"/>
      <c r="GB39" s="249"/>
      <c r="GC39" s="249"/>
      <c r="GD39" s="249"/>
      <c r="GE39" s="249"/>
      <c r="GF39" s="249"/>
      <c r="GG39" s="249"/>
      <c r="GH39" s="249"/>
      <c r="GI39" s="249"/>
      <c r="GJ39" s="249"/>
      <c r="GK39" s="249"/>
      <c r="GL39" s="249"/>
      <c r="GM39" s="249"/>
    </row>
    <row r="40" spans="1:195" s="42" customFormat="1" ht="12" x14ac:dyDescent="0.2">
      <c r="A40" s="259">
        <v>6</v>
      </c>
      <c r="B40" s="186" t="s">
        <v>518</v>
      </c>
      <c r="C40" s="268" t="s">
        <v>519</v>
      </c>
      <c r="D40" s="186" t="s">
        <v>418</v>
      </c>
      <c r="E40" s="287">
        <v>2.46E-2</v>
      </c>
      <c r="F40" s="297" t="s">
        <v>558</v>
      </c>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9"/>
      <c r="DJ40" s="249"/>
      <c r="DK40" s="249"/>
      <c r="DL40" s="249"/>
      <c r="DM40" s="249"/>
      <c r="DN40" s="249"/>
      <c r="DO40" s="249"/>
      <c r="DP40" s="249"/>
      <c r="DQ40" s="249"/>
      <c r="DR40" s="249"/>
      <c r="DS40" s="249"/>
      <c r="DT40" s="249"/>
      <c r="DU40" s="249"/>
      <c r="DV40" s="249"/>
      <c r="DW40" s="249"/>
      <c r="DX40" s="249"/>
      <c r="DY40" s="249"/>
      <c r="DZ40" s="249"/>
      <c r="EA40" s="249"/>
      <c r="EB40" s="249"/>
      <c r="EC40" s="249"/>
      <c r="ED40" s="249"/>
      <c r="EE40" s="249"/>
      <c r="EF40" s="249"/>
      <c r="EG40" s="249"/>
      <c r="EH40" s="249"/>
      <c r="EI40" s="249"/>
      <c r="EJ40" s="249"/>
      <c r="EK40" s="249"/>
      <c r="EL40" s="249"/>
      <c r="EM40" s="249"/>
      <c r="EN40" s="249"/>
      <c r="EO40" s="249"/>
      <c r="EP40" s="249"/>
      <c r="EQ40" s="249"/>
      <c r="ER40" s="249"/>
      <c r="ES40" s="249"/>
      <c r="ET40" s="249"/>
      <c r="EU40" s="249"/>
      <c r="EV40" s="249"/>
      <c r="EW40" s="249"/>
      <c r="EX40" s="249"/>
      <c r="EY40" s="249"/>
      <c r="EZ40" s="249"/>
      <c r="FA40" s="249"/>
      <c r="FB40" s="249"/>
      <c r="FC40" s="249"/>
      <c r="FD40" s="249"/>
      <c r="FE40" s="249"/>
      <c r="FF40" s="249"/>
      <c r="FG40" s="249"/>
      <c r="FH40" s="249"/>
      <c r="FI40" s="249"/>
      <c r="FJ40" s="249"/>
      <c r="FK40" s="249"/>
      <c r="FL40" s="249"/>
      <c r="FM40" s="249"/>
      <c r="FN40" s="249"/>
      <c r="FO40" s="249"/>
      <c r="FP40" s="249"/>
      <c r="FQ40" s="249"/>
      <c r="FR40" s="249"/>
      <c r="FS40" s="249"/>
      <c r="FT40" s="249"/>
      <c r="FU40" s="249"/>
      <c r="FV40" s="249"/>
      <c r="FW40" s="249"/>
      <c r="FX40" s="249"/>
      <c r="FY40" s="249"/>
      <c r="FZ40" s="249"/>
      <c r="GA40" s="249"/>
      <c r="GB40" s="249"/>
      <c r="GC40" s="249"/>
      <c r="GD40" s="249"/>
      <c r="GE40" s="249"/>
      <c r="GF40" s="249"/>
      <c r="GG40" s="249"/>
      <c r="GH40" s="249"/>
      <c r="GI40" s="249"/>
      <c r="GJ40" s="249"/>
      <c r="GK40" s="249"/>
      <c r="GL40" s="249"/>
      <c r="GM40" s="249"/>
    </row>
    <row r="41" spans="1:195" s="42" customFormat="1" ht="12" x14ac:dyDescent="0.2">
      <c r="A41" s="259">
        <v>7</v>
      </c>
      <c r="B41" s="186" t="s">
        <v>430</v>
      </c>
      <c r="C41" s="268" t="s">
        <v>431</v>
      </c>
      <c r="D41" s="186" t="s">
        <v>418</v>
      </c>
      <c r="E41" s="287">
        <v>1.4400000000000001E-3</v>
      </c>
      <c r="F41" s="297" t="s">
        <v>558</v>
      </c>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c r="EO41" s="249"/>
      <c r="EP41" s="249"/>
      <c r="EQ41" s="249"/>
      <c r="ER41" s="249"/>
      <c r="ES41" s="249"/>
      <c r="ET41" s="249"/>
      <c r="EU41" s="249"/>
      <c r="EV41" s="249"/>
      <c r="EW41" s="249"/>
      <c r="EX41" s="249"/>
      <c r="EY41" s="249"/>
      <c r="EZ41" s="249"/>
      <c r="FA41" s="249"/>
      <c r="FB41" s="249"/>
      <c r="FC41" s="249"/>
      <c r="FD41" s="249"/>
      <c r="FE41" s="249"/>
      <c r="FF41" s="249"/>
      <c r="FG41" s="249"/>
      <c r="FH41" s="249"/>
      <c r="FI41" s="249"/>
      <c r="FJ41" s="249"/>
      <c r="FK41" s="249"/>
      <c r="FL41" s="249"/>
      <c r="FM41" s="249"/>
      <c r="FN41" s="249"/>
      <c r="FO41" s="249"/>
      <c r="FP41" s="249"/>
      <c r="FQ41" s="249"/>
      <c r="FR41" s="249"/>
      <c r="FS41" s="249"/>
      <c r="FT41" s="249"/>
      <c r="FU41" s="249"/>
      <c r="FV41" s="249"/>
      <c r="FW41" s="249"/>
      <c r="FX41" s="249"/>
      <c r="FY41" s="249"/>
      <c r="FZ41" s="249"/>
      <c r="GA41" s="249"/>
      <c r="GB41" s="249"/>
      <c r="GC41" s="249"/>
      <c r="GD41" s="249"/>
      <c r="GE41" s="249"/>
      <c r="GF41" s="249"/>
      <c r="GG41" s="249"/>
      <c r="GH41" s="249"/>
      <c r="GI41" s="249"/>
      <c r="GJ41" s="249"/>
      <c r="GK41" s="249"/>
      <c r="GL41" s="249"/>
      <c r="GM41" s="249"/>
    </row>
    <row r="42" spans="1:195" s="275" customFormat="1" x14ac:dyDescent="0.2">
      <c r="A42" s="276" t="s">
        <v>486</v>
      </c>
      <c r="C42" s="277" t="s">
        <v>482</v>
      </c>
      <c r="F42" s="300"/>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row>
    <row r="43" spans="1:195" ht="25.5" x14ac:dyDescent="0.2">
      <c r="A43" s="260">
        <v>18</v>
      </c>
      <c r="B43" s="244" t="s">
        <v>523</v>
      </c>
      <c r="C43" s="269" t="s">
        <v>524</v>
      </c>
      <c r="D43" s="244" t="s">
        <v>415</v>
      </c>
      <c r="E43" s="288">
        <v>438.6</v>
      </c>
      <c r="F43" s="297" t="s">
        <v>558</v>
      </c>
    </row>
    <row r="44" spans="1:195" s="275" customFormat="1" x14ac:dyDescent="0.2">
      <c r="A44" s="278" t="s">
        <v>529</v>
      </c>
      <c r="B44" s="274"/>
      <c r="C44" s="494" t="s">
        <v>483</v>
      </c>
      <c r="D44" s="495"/>
      <c r="E44" s="496"/>
      <c r="F44" s="300"/>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row>
    <row r="45" spans="1:195" ht="25.5" x14ac:dyDescent="0.2">
      <c r="A45" s="262">
        <v>5</v>
      </c>
      <c r="B45" s="251" t="s">
        <v>530</v>
      </c>
      <c r="C45" s="270" t="s">
        <v>531</v>
      </c>
      <c r="D45" s="251" t="s">
        <v>415</v>
      </c>
      <c r="E45" s="290">
        <v>204</v>
      </c>
      <c r="F45" s="297" t="s">
        <v>558</v>
      </c>
    </row>
    <row r="46" spans="1:195" ht="25.5" x14ac:dyDescent="0.2">
      <c r="A46" s="262">
        <v>6</v>
      </c>
      <c r="B46" s="251" t="s">
        <v>530</v>
      </c>
      <c r="C46" s="270" t="s">
        <v>532</v>
      </c>
      <c r="D46" s="251" t="s">
        <v>415</v>
      </c>
      <c r="E46" s="290">
        <v>195.70961199999999</v>
      </c>
      <c r="F46" s="297" t="s">
        <v>558</v>
      </c>
    </row>
    <row r="47" spans="1:195" x14ac:dyDescent="0.2">
      <c r="A47" s="262">
        <v>17</v>
      </c>
      <c r="B47" s="251" t="s">
        <v>535</v>
      </c>
      <c r="C47" s="270" t="s">
        <v>536</v>
      </c>
      <c r="D47" s="251" t="s">
        <v>422</v>
      </c>
      <c r="E47" s="290">
        <v>302.61</v>
      </c>
      <c r="F47" s="297" t="s">
        <v>558</v>
      </c>
    </row>
    <row r="48" spans="1:195" ht="25.5" x14ac:dyDescent="0.2">
      <c r="A48" s="262">
        <v>19</v>
      </c>
      <c r="B48" s="251" t="s">
        <v>537</v>
      </c>
      <c r="C48" s="270" t="s">
        <v>538</v>
      </c>
      <c r="D48" s="251" t="s">
        <v>415</v>
      </c>
      <c r="E48" s="290">
        <v>66.912000000000006</v>
      </c>
      <c r="F48" s="297" t="s">
        <v>558</v>
      </c>
    </row>
    <row r="49" spans="1:252" ht="25.5" x14ac:dyDescent="0.2">
      <c r="A49" s="262">
        <v>20</v>
      </c>
      <c r="B49" s="251" t="s">
        <v>537</v>
      </c>
      <c r="C49" s="270" t="s">
        <v>539</v>
      </c>
      <c r="D49" s="251" t="s">
        <v>415</v>
      </c>
      <c r="E49" s="290">
        <v>31.416</v>
      </c>
      <c r="F49" s="297" t="s">
        <v>558</v>
      </c>
    </row>
    <row r="50" spans="1:252" ht="25.5" x14ac:dyDescent="0.2">
      <c r="A50" s="262">
        <v>21</v>
      </c>
      <c r="B50" s="251" t="s">
        <v>537</v>
      </c>
      <c r="C50" s="270" t="s">
        <v>540</v>
      </c>
      <c r="D50" s="251" t="s">
        <v>415</v>
      </c>
      <c r="E50" s="290">
        <v>66.912000000000006</v>
      </c>
      <c r="F50" s="297" t="s">
        <v>558</v>
      </c>
    </row>
    <row r="51" spans="1:252" ht="38.25" x14ac:dyDescent="0.2">
      <c r="A51" s="262">
        <v>22</v>
      </c>
      <c r="B51" s="251" t="s">
        <v>537</v>
      </c>
      <c r="C51" s="270" t="s">
        <v>541</v>
      </c>
      <c r="D51" s="251" t="s">
        <v>415</v>
      </c>
      <c r="E51" s="290">
        <v>25.806000000000001</v>
      </c>
      <c r="F51" s="297" t="s">
        <v>558</v>
      </c>
    </row>
    <row r="52" spans="1:252" ht="25.5" x14ac:dyDescent="0.2">
      <c r="A52" s="262">
        <v>23</v>
      </c>
      <c r="B52" s="251" t="s">
        <v>537</v>
      </c>
      <c r="C52" s="270" t="s">
        <v>542</v>
      </c>
      <c r="D52" s="251" t="s">
        <v>415</v>
      </c>
      <c r="E52" s="290">
        <v>63.75</v>
      </c>
      <c r="F52" s="297" t="s">
        <v>558</v>
      </c>
    </row>
    <row r="53" spans="1:252" ht="25.5" x14ac:dyDescent="0.2">
      <c r="A53" s="262">
        <v>24</v>
      </c>
      <c r="B53" s="251" t="s">
        <v>537</v>
      </c>
      <c r="C53" s="270" t="s">
        <v>543</v>
      </c>
      <c r="D53" s="251" t="s">
        <v>415</v>
      </c>
      <c r="E53" s="290">
        <v>25.806000000000001</v>
      </c>
      <c r="F53" s="297" t="s">
        <v>558</v>
      </c>
    </row>
    <row r="54" spans="1:252" ht="25.5" x14ac:dyDescent="0.2">
      <c r="A54" s="262">
        <v>25</v>
      </c>
      <c r="B54" s="251" t="s">
        <v>523</v>
      </c>
      <c r="C54" s="270" t="s">
        <v>524</v>
      </c>
      <c r="D54" s="251" t="s">
        <v>415</v>
      </c>
      <c r="E54" s="290">
        <v>596.70000000000005</v>
      </c>
      <c r="F54" s="297" t="s">
        <v>558</v>
      </c>
    </row>
    <row r="55" spans="1:252" ht="25.5" x14ac:dyDescent="0.2">
      <c r="A55" s="262">
        <v>26</v>
      </c>
      <c r="B55" s="251" t="s">
        <v>523</v>
      </c>
      <c r="C55" s="270" t="s">
        <v>544</v>
      </c>
      <c r="D55" s="251" t="s">
        <v>415</v>
      </c>
      <c r="E55" s="290">
        <v>191.76</v>
      </c>
      <c r="F55" s="297" t="s">
        <v>558</v>
      </c>
    </row>
    <row r="56" spans="1:252" x14ac:dyDescent="0.2">
      <c r="A56" s="262">
        <v>27</v>
      </c>
      <c r="B56" s="251" t="s">
        <v>472</v>
      </c>
      <c r="C56" s="270" t="s">
        <v>545</v>
      </c>
      <c r="D56" s="251" t="s">
        <v>415</v>
      </c>
      <c r="E56" s="290">
        <v>4.1820000000000004</v>
      </c>
      <c r="F56" s="297" t="s">
        <v>558</v>
      </c>
    </row>
    <row r="57" spans="1:252" x14ac:dyDescent="0.2">
      <c r="A57" s="483" t="s">
        <v>560</v>
      </c>
      <c r="B57" s="483"/>
      <c r="C57" s="483"/>
      <c r="D57" s="483"/>
      <c r="E57" s="483"/>
      <c r="F57" s="484"/>
    </row>
    <row r="58" spans="1:252" s="42" customFormat="1" ht="12" x14ac:dyDescent="0.2">
      <c r="A58" s="185">
        <v>6</v>
      </c>
      <c r="B58" s="186" t="s">
        <v>561</v>
      </c>
      <c r="C58" s="186" t="s">
        <v>562</v>
      </c>
      <c r="D58" s="186" t="s">
        <v>415</v>
      </c>
      <c r="E58" s="187">
        <v>203.39</v>
      </c>
      <c r="F58" s="297" t="s">
        <v>558</v>
      </c>
      <c r="K58" s="249"/>
      <c r="L58" s="249">
        <v>203.39</v>
      </c>
      <c r="M58" s="249">
        <v>203.39</v>
      </c>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c r="CZ58" s="249"/>
      <c r="DA58" s="249"/>
      <c r="DB58" s="249"/>
      <c r="DC58" s="249"/>
      <c r="DD58" s="249"/>
      <c r="DE58" s="249"/>
      <c r="DF58" s="249"/>
      <c r="DG58" s="249"/>
      <c r="DH58" s="249"/>
      <c r="DI58" s="249"/>
      <c r="DJ58" s="249"/>
      <c r="DK58" s="249"/>
      <c r="DL58" s="249"/>
      <c r="DM58" s="249"/>
      <c r="DN58" s="249"/>
      <c r="DO58" s="249"/>
      <c r="DP58" s="249"/>
      <c r="DQ58" s="249"/>
      <c r="DR58" s="249"/>
      <c r="DS58" s="249"/>
      <c r="DT58" s="249"/>
      <c r="DU58" s="249"/>
      <c r="DV58" s="249"/>
      <c r="DW58" s="249"/>
      <c r="DX58" s="249"/>
      <c r="DY58" s="249"/>
      <c r="DZ58" s="249"/>
      <c r="EA58" s="249"/>
      <c r="EB58" s="249"/>
      <c r="EC58" s="249"/>
      <c r="ED58" s="249"/>
      <c r="EE58" s="249"/>
      <c r="EF58" s="249"/>
      <c r="EG58" s="249"/>
      <c r="EH58" s="249"/>
      <c r="EI58" s="249"/>
      <c r="EJ58" s="249"/>
      <c r="EK58" s="249"/>
      <c r="EL58" s="249"/>
      <c r="EM58" s="249"/>
      <c r="EN58" s="249"/>
      <c r="EO58" s="249"/>
      <c r="EP58" s="249"/>
      <c r="EQ58" s="249"/>
      <c r="ER58" s="249"/>
      <c r="ES58" s="249"/>
      <c r="ET58" s="249"/>
      <c r="EU58" s="249"/>
      <c r="EV58" s="249"/>
      <c r="EW58" s="249"/>
      <c r="EX58" s="249"/>
      <c r="EY58" s="249"/>
      <c r="EZ58" s="249"/>
      <c r="FA58" s="249"/>
      <c r="FB58" s="249"/>
      <c r="FC58" s="249"/>
      <c r="FD58" s="249"/>
      <c r="FE58" s="249"/>
      <c r="FF58" s="249"/>
      <c r="FG58" s="249"/>
      <c r="FH58" s="249"/>
      <c r="FI58" s="249"/>
      <c r="FJ58" s="249"/>
      <c r="FK58" s="249"/>
      <c r="FL58" s="249"/>
      <c r="FM58" s="249"/>
      <c r="FN58" s="249"/>
      <c r="FO58" s="249"/>
      <c r="FP58" s="249"/>
      <c r="FQ58" s="249"/>
      <c r="FR58" s="249"/>
      <c r="FS58" s="249"/>
      <c r="FT58" s="249"/>
      <c r="FU58" s="249"/>
      <c r="FV58" s="249"/>
      <c r="FW58" s="249"/>
      <c r="FX58" s="249"/>
      <c r="FY58" s="249"/>
      <c r="FZ58" s="249"/>
      <c r="GA58" s="249"/>
      <c r="GB58" s="249"/>
      <c r="GC58" s="249"/>
      <c r="GD58" s="249"/>
      <c r="GE58" s="249"/>
      <c r="GF58" s="249"/>
      <c r="GG58" s="249"/>
      <c r="GH58" s="249"/>
      <c r="GI58" s="249"/>
      <c r="GJ58" s="249"/>
      <c r="GK58" s="249"/>
      <c r="GL58" s="249"/>
      <c r="GM58" s="249"/>
      <c r="GN58" s="249"/>
      <c r="GO58" s="249"/>
      <c r="GP58" s="249"/>
      <c r="GQ58" s="249"/>
      <c r="GR58" s="249"/>
      <c r="GS58" s="249"/>
      <c r="GT58" s="249"/>
      <c r="GU58" s="249"/>
      <c r="GV58" s="249"/>
      <c r="GW58" s="249"/>
      <c r="GX58" s="249"/>
      <c r="GY58" s="249"/>
      <c r="GZ58" s="249"/>
      <c r="HA58" s="249"/>
      <c r="HB58" s="249"/>
      <c r="HC58" s="249"/>
      <c r="HD58" s="249"/>
      <c r="HE58" s="249"/>
      <c r="HF58" s="249"/>
      <c r="HG58" s="249"/>
      <c r="HH58" s="249"/>
      <c r="HI58" s="249"/>
      <c r="HJ58" s="249"/>
      <c r="HK58" s="249"/>
      <c r="HL58" s="249"/>
      <c r="HM58" s="249"/>
      <c r="HN58" s="249"/>
      <c r="HO58" s="249"/>
      <c r="HP58" s="249"/>
      <c r="HQ58" s="249"/>
      <c r="HR58" s="249"/>
      <c r="HS58" s="249"/>
      <c r="HT58" s="249"/>
      <c r="HU58" s="249"/>
      <c r="HV58" s="249"/>
      <c r="HW58" s="249"/>
      <c r="HX58" s="249"/>
      <c r="HY58" s="249"/>
      <c r="HZ58" s="249"/>
      <c r="IA58" s="249"/>
      <c r="IB58" s="249"/>
      <c r="IC58" s="249"/>
      <c r="ID58" s="249"/>
      <c r="IE58" s="249"/>
      <c r="IF58" s="249"/>
      <c r="IG58" s="249"/>
      <c r="IH58" s="249"/>
      <c r="II58" s="249"/>
      <c r="IJ58" s="249"/>
      <c r="IK58" s="249"/>
      <c r="IL58" s="249"/>
      <c r="IM58" s="249"/>
      <c r="IN58" s="249"/>
      <c r="IO58" s="249"/>
      <c r="IP58" s="249"/>
      <c r="IQ58" s="249"/>
      <c r="IR58" s="249"/>
    </row>
  </sheetData>
  <mergeCells count="18">
    <mergeCell ref="A57:F57"/>
    <mergeCell ref="B15:E15"/>
    <mergeCell ref="F19:F21"/>
    <mergeCell ref="B23:E23"/>
    <mergeCell ref="C37:E37"/>
    <mergeCell ref="C44:E44"/>
    <mergeCell ref="B14:E14"/>
    <mergeCell ref="A1:E1"/>
    <mergeCell ref="C3:E3"/>
    <mergeCell ref="C4:E4"/>
    <mergeCell ref="C5:E5"/>
    <mergeCell ref="C6:E6"/>
    <mergeCell ref="A7:E7"/>
    <mergeCell ref="A8:E8"/>
    <mergeCell ref="D9:E9"/>
    <mergeCell ref="A11:E11"/>
    <mergeCell ref="A12:E12"/>
    <mergeCell ref="B13:E13"/>
  </mergeCells>
  <pageMargins left="0.7" right="0.7" top="0.75" bottom="0.75" header="0.3" footer="0.3"/>
  <pageSetup paperSize="9" orientation="portrait" r:id="rId1"/>
  <headerFooter>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17</vt:i4>
      </vt:variant>
    </vt:vector>
  </HeadingPairs>
  <TitlesOfParts>
    <vt:vector size="32" baseType="lpstr">
      <vt:lpstr>6.Ведомость_списания</vt:lpstr>
      <vt:lpstr>5.Ресурсный_расчет</vt:lpstr>
      <vt:lpstr>4.Оборудование</vt:lpstr>
      <vt:lpstr>3.Материалы</vt:lpstr>
      <vt:lpstr>2.Лок.смета.и.Акт в ЕР</vt:lpstr>
      <vt:lpstr>SourceOb.2</vt:lpstr>
      <vt:lpstr>1.Лок.смета.и.Акт</vt:lpstr>
      <vt:lpstr>ТЗ</vt:lpstr>
      <vt:lpstr>Материалы ген.подрядчика</vt:lpstr>
      <vt:lpstr>Материалы подрядчика</vt:lpstr>
      <vt:lpstr>SourceOb.1</vt:lpstr>
      <vt:lpstr>Source</vt:lpstr>
      <vt:lpstr>SourceObSm</vt:lpstr>
      <vt:lpstr>SmtRes</vt:lpstr>
      <vt:lpstr>EtalonRes</vt:lpstr>
      <vt:lpstr>'1.Лок.смета.и.Акт'!Заголовки_для_печати</vt:lpstr>
      <vt:lpstr>'2.Лок.смета.и.Акт в ЕР'!Заголовки_для_печати</vt:lpstr>
      <vt:lpstr>'3.Материалы'!Заголовки_для_печати</vt:lpstr>
      <vt:lpstr>'4.Оборудование'!Заголовки_для_печати</vt:lpstr>
      <vt:lpstr>'5.Ресурсный_расчет'!Заголовки_для_печати</vt:lpstr>
      <vt:lpstr>'6.Ведомость_списания'!Заголовки_для_печати</vt:lpstr>
      <vt:lpstr>'Материалы ген.подрядчика'!Заголовки_для_печати</vt:lpstr>
      <vt:lpstr>'Материалы подрядчика'!Заголовки_для_печати</vt:lpstr>
      <vt:lpstr>'1.Лок.смета.и.Акт'!Область_печати</vt:lpstr>
      <vt:lpstr>'2.Лок.смета.и.Акт в ЕР'!Область_печати</vt:lpstr>
      <vt:lpstr>'3.Материалы'!Область_печати</vt:lpstr>
      <vt:lpstr>'4.Оборудование'!Область_печати</vt:lpstr>
      <vt:lpstr>'5.Ресурсный_расчет'!Область_печати</vt:lpstr>
      <vt:lpstr>'6.Ведомость_списания'!Область_печати</vt:lpstr>
      <vt:lpstr>'Материалы ген.подрядчика'!Область_печати</vt:lpstr>
      <vt:lpstr>'Материалы подрядчика'!Область_печати</vt:lpstr>
      <vt:lpstr>ТЗ!Область_печати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Мальцева Кристина Валерьевна</cp:lastModifiedBy>
  <cp:lastPrinted>2024-07-30T11:00:15Z</cp:lastPrinted>
  <dcterms:created xsi:type="dcterms:W3CDTF">2023-05-17T13:36:26Z</dcterms:created>
  <dcterms:modified xsi:type="dcterms:W3CDTF">2025-02-10T14:08:36Z</dcterms:modified>
</cp:coreProperties>
</file>